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t31z3tcLwpBzx1Y2nMbtw//RYnhl7RXWhGSm1LL0/jo0Q9uMhOTw5QzdUaJgaDj1fgup9GOJ6qxV+evaxFmozg==" workbookSaltValue="EzKLcM9KJ5HU66tMSVxR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H28" i="2" l="1"/>
  <c r="R13" i="17"/>
  <c r="P13" i="14"/>
  <c r="R13" i="14" s="1"/>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V14" i="21" s="1"/>
  <c r="V31" i="21" s="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E31" i="2"/>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<sst xmlns="http://schemas.openxmlformats.org/spreadsheetml/2006/main" count="2682" uniqueCount="1193">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</sst>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PRLtDkvOnFaXaJTKSp4/M+wmQuIhlLnGZiOUDUZx+EWnwbaao3AtdpC1T1TQ0q0JPCqyJXIIHrLNuTCPjipGw==" saltValue="L57qQKtBNLl5/xgfEwBi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1</v>
      </c>
      <c r="F10" s="240">
        <f>IF(ISNUMBER(Datos!K10),Datos!K10," - ")</f>
        <v>2</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42.757062146892657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274</v>
      </c>
      <c r="D17" s="239">
        <f>IF(ISNUMBER(IF(D_I="SI",Datos!I17,Datos!I17+Datos!AC17)),IF(D_I="SI",Datos!I17,Datos!I17+Datos!AC17)," - ")</f>
        <v>273</v>
      </c>
      <c r="E17" s="240">
        <f>IF(ISNUMBER(IF(D_I="SI",Datos!J17,Datos!J17+Datos!AD17)),IF(D_I="SI",Datos!J17,Datos!J17+Datos!AD17)," - ")</f>
        <v>168</v>
      </c>
      <c r="F17" s="240">
        <f>IF(ISNUMBER(IF(D_I="SI",Datos!K17,Datos!K17+Datos!AE17)),IF(D_I="SI",Datos!K17,Datos!K17+Datos!AE17)," - ")</f>
        <v>152</v>
      </c>
      <c r="G17" s="1390" t="str">
        <f>IF(Datos!E17&lt;&gt;"",Datos!E17,Datos!D17)</f>
        <v>04</v>
      </c>
      <c r="H17" s="241">
        <f>IF(ISNUMBER(IF(D_I="SI",Datos!L17,Datos!L17+Datos!AF17)),IF(D_I="SI",Datos!L17,Datos!L17+Datos!AF17)," - ")</f>
        <v>290</v>
      </c>
      <c r="I17" s="1400" t="str">
        <f>IF(ISNUMBER(Datos!AS17/Datos!BM17),Datos!AS17/Datos!BM17," - ")</f>
        <v xml:space="preserve"> - </v>
      </c>
      <c r="J17" s="1401">
        <f>IF(ISNUMBER(Datos!BY17/Datos!CN17),Datos!BY17/Datos!CN17," - ")</f>
        <v>0</v>
      </c>
      <c r="K17" s="244">
        <f t="shared" si="3"/>
        <v>5.8394160583941604E-2</v>
      </c>
      <c r="L17" s="1402">
        <f>IF(ISNUMBER(NºAsuntos!I17/NºAsuntos!G17),(NºAsuntos!I17/NºAsuntos!G17)*11," - ")</f>
        <v>20.986842105263158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44</v>
      </c>
      <c r="E18" s="240">
        <f>IF(ISNUMBER(IF(D_I="SI",Datos!J18,Datos!J18+Datos!AD18)),IF(D_I="SI",Datos!J18,Datos!J18+Datos!AD18)," - ")</f>
        <v>36</v>
      </c>
      <c r="F18" s="240">
        <f>IF(ISNUMBER(IF(D_I="SI",Datos!K18,Datos!K18+Datos!AE18)),IF(D_I="SI",Datos!K18,Datos!K18+Datos!AE18)," - ")</f>
        <v>22</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0.31818181818181818</v>
      </c>
      <c r="L18" s="1402">
        <f>IF(ISNUMBER(NºAsuntos!I18/NºAsuntos!G18),(NºAsuntos!I18/NºAsuntos!G18)*11," - ")</f>
        <v>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318</v>
      </c>
      <c r="D23" s="1407">
        <f>SUBTOTAL(9,D16:D22)</f>
        <v>317</v>
      </c>
      <c r="E23" s="1408">
        <f>SUBTOTAL(9,E16:E22)</f>
        <v>204</v>
      </c>
      <c r="F23" s="1408">
        <f>SUBTOTAL(9,F16:F22)</f>
        <v>174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328</v>
      </c>
      <c r="D31" s="1435">
        <f>SUBTOTAL(9,D9:D30)</f>
        <v>327</v>
      </c>
      <c r="E31" s="1436">
        <f>SUBTOTAL(9,E9:E30)</f>
        <v>205</v>
      </c>
      <c r="F31" s="1436">
        <f>SUBTOTAL(9,F9:F30)</f>
        <v>176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wpIf6uI4L/D5/fw8E/g4TaipaQZD31ERE7LbenTgc/LmWznoEyz6C2U1Q7fwuleuxGOXSIp7sn/aXO9Q3FEcA==" saltValue="pKpXH2op+8UnOX0uYhCC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ZOrXEcDrQrnZyW6sbM9ozfrDRnr0eUftYdxCqSLjksY+oZHutmCB57ZkDtSrZdxvJrioxhApyTdq3zqbwdxhg==" saltValue="IH+P7UbSBYrYxjts5js+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1</v>
      </c>
      <c r="K10" s="194">
        <v>2</v>
      </c>
      <c r="L10" s="194">
        <v>9</v>
      </c>
      <c r="M10" s="194">
        <v>0</v>
      </c>
      <c r="N10" s="194">
        <v>0</v>
      </c>
      <c r="O10" s="194">
        <v>0</v>
      </c>
      <c r="P10" s="194">
        <v>0</v>
      </c>
      <c r="Q10" s="194">
        <v>0</v>
      </c>
      <c r="R10" s="194">
        <v>6</v>
      </c>
      <c r="S10" s="194">
        <v>11</v>
      </c>
      <c r="T10" s="194">
        <v>6</v>
      </c>
      <c r="U10" s="194">
        <v>5</v>
      </c>
      <c r="V10" s="194">
        <v>12</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6</v>
      </c>
      <c r="BA10" s="139">
        <f t="shared" si="0"/>
        <v>5</v>
      </c>
      <c r="BB10" s="139">
        <f t="shared" si="0"/>
        <v>12</v>
      </c>
      <c r="BC10" s="135">
        <f t="shared" si="0"/>
        <v>2</v>
      </c>
      <c r="BD10" s="136">
        <f>IF(ISNUMBER(BA10/AZ10),BA10/AZ10," - ")</f>
        <v>0.83333333333333337</v>
      </c>
      <c r="BE10" s="137">
        <f>IF(ISNUMBER(BB10/BA10),BB10/BA10, " - ")</f>
        <v>2.4</v>
      </c>
      <c r="BF10" s="137">
        <f>IF(ISNUMBER(BC10/BA10),BC10/BA10, " - ")</f>
        <v>0.4</v>
      </c>
      <c r="BG10" s="209">
        <f>IF(ISNUMBER((AY10+AZ10)/BA10),(AY10+AZ10)/BA10," - ")</f>
        <v>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617</v>
      </c>
      <c r="J12" s="196">
        <v>190</v>
      </c>
      <c r="K12" s="196">
        <v>158</v>
      </c>
      <c r="L12" s="196">
        <v>649</v>
      </c>
      <c r="M12" s="196">
        <v>41</v>
      </c>
      <c r="N12" s="196">
        <v>77</v>
      </c>
      <c r="O12" s="194">
        <v>49</v>
      </c>
      <c r="P12" s="196">
        <v>33</v>
      </c>
      <c r="Q12" s="196">
        <v>15</v>
      </c>
      <c r="R12" s="196">
        <v>667</v>
      </c>
      <c r="S12" s="196">
        <v>532</v>
      </c>
      <c r="T12" s="196">
        <v>158</v>
      </c>
      <c r="U12" s="196">
        <v>140</v>
      </c>
      <c r="V12" s="196">
        <v>555</v>
      </c>
      <c r="W12" s="196">
        <v>41</v>
      </c>
      <c r="X12" s="202">
        <v>53</v>
      </c>
      <c r="Y12" s="204">
        <v>39</v>
      </c>
      <c r="Z12" s="194">
        <v>19</v>
      </c>
      <c r="AA12" s="194">
        <v>19</v>
      </c>
      <c r="AB12" s="194">
        <v>39</v>
      </c>
      <c r="AC12" s="196">
        <v>0</v>
      </c>
      <c r="AD12" s="196">
        <v>0</v>
      </c>
      <c r="AE12" s="196">
        <v>0</v>
      </c>
      <c r="AF12" s="202">
        <v>0</v>
      </c>
      <c r="AG12" s="215">
        <v>38</v>
      </c>
      <c r="AH12" s="196">
        <v>33</v>
      </c>
      <c r="AI12" s="196">
        <v>21</v>
      </c>
      <c r="AJ12" s="216">
        <v>50</v>
      </c>
      <c r="AK12" s="195">
        <v>0</v>
      </c>
      <c r="AL12" s="196">
        <v>0</v>
      </c>
      <c r="AM12" s="196">
        <v>0</v>
      </c>
      <c r="AN12" s="202">
        <v>0</v>
      </c>
      <c r="AO12" s="283">
        <v>2</v>
      </c>
      <c r="AP12" s="168">
        <v>2</v>
      </c>
      <c r="AQ12" s="168">
        <v>2</v>
      </c>
      <c r="AR12" s="167">
        <v>2</v>
      </c>
      <c r="AS12" s="381" t="s">
        <v>1075</v>
      </c>
      <c r="AT12" s="216"/>
      <c r="AU12" s="215"/>
      <c r="AV12" s="216"/>
      <c r="AW12" s="215"/>
      <c r="AX12" s="216"/>
      <c r="AY12" s="136">
        <f t="shared" si="1"/>
        <v>570</v>
      </c>
      <c r="AZ12" s="137">
        <f t="shared" si="1"/>
        <v>191</v>
      </c>
      <c r="BA12" s="137">
        <f t="shared" si="1"/>
        <v>161</v>
      </c>
      <c r="BB12" s="137">
        <f t="shared" si="1"/>
        <v>605</v>
      </c>
      <c r="BC12" s="135">
        <f>IF(ISNUMBER(X12),X12," - ")</f>
        <v>53</v>
      </c>
      <c r="BD12" s="136">
        <f t="shared" si="2"/>
        <v>0.84293193717277481</v>
      </c>
      <c r="BE12" s="137">
        <f t="shared" si="3"/>
        <v>3.7577639751552794</v>
      </c>
      <c r="BF12" s="137">
        <f t="shared" si="4"/>
        <v>0.32919254658385094</v>
      </c>
      <c r="BG12" s="209">
        <f t="shared" si="5"/>
        <v>4.7267080745341614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627</v>
      </c>
      <c r="J14" s="197">
        <f t="shared" si="7"/>
        <v>191</v>
      </c>
      <c r="K14" s="197">
        <f t="shared" si="7"/>
        <v>160</v>
      </c>
      <c r="L14" s="197">
        <f t="shared" si="7"/>
        <v>658</v>
      </c>
      <c r="M14" s="197">
        <f t="shared" si="7"/>
        <v>41</v>
      </c>
      <c r="N14" s="197">
        <f t="shared" si="7"/>
        <v>77</v>
      </c>
      <c r="O14" s="197">
        <f t="shared" si="7"/>
        <v>49</v>
      </c>
      <c r="P14" s="197">
        <f t="shared" si="7"/>
        <v>33</v>
      </c>
      <c r="Q14" s="197">
        <f t="shared" si="7"/>
        <v>15</v>
      </c>
      <c r="R14" s="197">
        <f t="shared" si="7"/>
        <v>673</v>
      </c>
      <c r="S14" s="197">
        <f t="shared" si="7"/>
        <v>543</v>
      </c>
      <c r="T14" s="197">
        <f t="shared" si="7"/>
        <v>164</v>
      </c>
      <c r="U14" s="197">
        <f t="shared" si="7"/>
        <v>145</v>
      </c>
      <c r="V14" s="197">
        <f t="shared" si="7"/>
        <v>567</v>
      </c>
      <c r="W14" s="197">
        <f t="shared" si="7"/>
        <v>43</v>
      </c>
      <c r="X14" s="197">
        <f t="shared" si="7"/>
        <v>55</v>
      </c>
      <c r="Y14" s="197">
        <f t="shared" si="7"/>
        <v>39</v>
      </c>
      <c r="Z14" s="197">
        <f t="shared" si="7"/>
        <v>19</v>
      </c>
      <c r="AA14" s="197">
        <f t="shared" si="7"/>
        <v>19</v>
      </c>
      <c r="AB14" s="197">
        <f t="shared" si="7"/>
        <v>39</v>
      </c>
      <c r="AC14" s="197">
        <f t="shared" si="7"/>
        <v>0</v>
      </c>
      <c r="AD14" s="197">
        <f t="shared" si="7"/>
        <v>0</v>
      </c>
      <c r="AE14" s="197">
        <f t="shared" si="7"/>
        <v>0</v>
      </c>
      <c r="AF14" s="197">
        <f>SUBTOTAL(9,AF9:AF13)</f>
        <v>0</v>
      </c>
      <c r="AG14" s="197">
        <f t="shared" ref="AG14:AT14" si="8">SUBTOTAL(9,AG8:AG13)</f>
        <v>38</v>
      </c>
      <c r="AH14" s="197">
        <f t="shared" si="8"/>
        <v>33</v>
      </c>
      <c r="AI14" s="197">
        <f t="shared" si="8"/>
        <v>21</v>
      </c>
      <c r="AJ14" s="197">
        <f t="shared" si="8"/>
        <v>50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581</v>
      </c>
      <c r="AZ14" s="197">
        <f>SUBTOTAL(9,AZ8:AZ13)</f>
        <v>197</v>
      </c>
      <c r="BA14" s="197">
        <f>SUBTOTAL(9,BA8:BA13)</f>
        <v>166</v>
      </c>
      <c r="BB14" s="197">
        <f>SUBTOTAL(9,BB8:BB13)</f>
        <v>617</v>
      </c>
      <c r="BC14" s="197">
        <f>SUBTOTAL(9,BC8:BC13)</f>
        <v>55</v>
      </c>
      <c r="BD14" s="219">
        <f>IF(ISNUMBER(BA14/AZ14),BA14/AZ14," - ")</f>
        <v>0.84263959390862941</v>
      </c>
      <c r="BE14" s="220">
        <f>IF(ISNUMBER(BB14/BA14),BB14/BA14, " - ")</f>
        <v>3.7168674698795181</v>
      </c>
      <c r="BF14" s="220">
        <f>IF(ISNUMBER(BC14/BA14),BC14/BA14, " - ")</f>
        <v>0.33132530120481929</v>
      </c>
      <c r="BG14" s="221">
        <f>IF(ISNUMBER((AY14+AZ14)/BA14),(AY14+AZ14)/BA14," - ")</f>
        <v>4.6867469879518069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273</v>
      </c>
      <c r="J17" s="196">
        <v>168</v>
      </c>
      <c r="K17" s="196">
        <v>152</v>
      </c>
      <c r="L17" s="196">
        <v>290</v>
      </c>
      <c r="M17" s="196">
        <v>31</v>
      </c>
      <c r="N17" s="196">
        <v>66</v>
      </c>
      <c r="O17" s="194">
        <v>3</v>
      </c>
      <c r="P17" s="196">
        <v>9</v>
      </c>
      <c r="Q17" s="196">
        <v>6</v>
      </c>
      <c r="R17" s="196">
        <v>30</v>
      </c>
      <c r="S17" s="196">
        <v>295</v>
      </c>
      <c r="T17" s="196">
        <v>197</v>
      </c>
      <c r="U17" s="196">
        <v>218</v>
      </c>
      <c r="V17" s="196">
        <v>278</v>
      </c>
      <c r="W17" s="196">
        <v>21</v>
      </c>
      <c r="X17" s="202">
        <v>125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295</v>
      </c>
      <c r="AZ17" s="137">
        <f t="shared" si="10"/>
        <v>197</v>
      </c>
      <c r="BA17" s="137">
        <f t="shared" si="10"/>
        <v>218</v>
      </c>
      <c r="BB17" s="137">
        <f t="shared" si="10"/>
        <v>278</v>
      </c>
      <c r="BC17" s="135">
        <f>IF(ISNUMBER(W17),W17," - ")</f>
        <v>21</v>
      </c>
      <c r="BD17" s="136">
        <f t="shared" ref="BD17:BD22" si="12">IF(ISNUMBER(BA17/AZ17),BA17/AZ17," - ")</f>
        <v>1.1065989847715736</v>
      </c>
      <c r="BE17" s="137">
        <f t="shared" ref="BE17:BE22" si="13">IF(ISNUMBER(BB17/BA17),BB17/BA17, " - ")</f>
        <v>1.275229357798165</v>
      </c>
      <c r="BF17" s="137">
        <f t="shared" ref="BF17:BF22" si="14">IF(ISNUMBER(BC17/BA17),BC17/BA17, " - ")</f>
        <v>9.6330275229357804E-2</v>
      </c>
      <c r="BG17" s="209">
        <f t="shared" si="11"/>
        <v>2.2568807339449539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36</v>
      </c>
      <c r="K18" s="196">
        <v>22</v>
      </c>
      <c r="L18" s="196">
        <v>58</v>
      </c>
      <c r="M18" s="196">
        <v>1</v>
      </c>
      <c r="N18" s="196">
        <v>22</v>
      </c>
      <c r="O18" s="196">
        <v>0</v>
      </c>
      <c r="P18" s="196">
        <v>0</v>
      </c>
      <c r="Q18" s="196">
        <v>0</v>
      </c>
      <c r="R18" s="196">
        <v>0</v>
      </c>
      <c r="S18" s="196">
        <v>55</v>
      </c>
      <c r="T18" s="196">
        <v>37</v>
      </c>
      <c r="U18" s="196">
        <v>42</v>
      </c>
      <c r="V18" s="196">
        <v>50</v>
      </c>
      <c r="W18" s="196">
        <v>2</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37</v>
      </c>
      <c r="BA18" s="139">
        <f t="shared" si="15"/>
        <v>42</v>
      </c>
      <c r="BB18" s="139">
        <f t="shared" si="15"/>
        <v>50</v>
      </c>
      <c r="BC18" s="135">
        <f>IF(ISNUMBER(W18),W18," - ")</f>
        <v>2</v>
      </c>
      <c r="BD18" s="136">
        <f>IF(ISNUMBER(BA18/AZ18),BA18/AZ18," - ")</f>
        <v>1.1351351351351351</v>
      </c>
      <c r="BE18" s="137">
        <f>IF(ISNUMBER(BB18/BA18),BB18/BA18, " - ")</f>
        <v>1.1904761904761905</v>
      </c>
      <c r="BF18" s="137">
        <f>IF(ISNUMBER(BC18/BA18),BC18/BA18, " - ")</f>
        <v>4.7619047619047616E-2</v>
      </c>
      <c r="BG18" s="209">
        <f>IF(ISNUMBER((AY18+AZ18)/BA18),(AY18+AZ18)/BA18," - ")</f>
        <v>2.1904761904761907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317</v>
      </c>
      <c r="J23" s="197">
        <f t="shared" si="21"/>
        <v>204</v>
      </c>
      <c r="K23" s="197">
        <f t="shared" si="21"/>
        <v>174</v>
      </c>
      <c r="L23" s="197">
        <f t="shared" si="21"/>
        <v>348</v>
      </c>
      <c r="M23" s="197">
        <f t="shared" si="21"/>
        <v>32</v>
      </c>
      <c r="N23" s="197">
        <f t="shared" si="21"/>
        <v>88</v>
      </c>
      <c r="O23" s="197">
        <f t="shared" si="21"/>
        <v>3</v>
      </c>
      <c r="P23" s="197">
        <f t="shared" si="21"/>
        <v>9</v>
      </c>
      <c r="Q23" s="197">
        <f t="shared" si="21"/>
        <v>6</v>
      </c>
      <c r="R23" s="197">
        <f t="shared" si="21"/>
        <v>30</v>
      </c>
      <c r="S23" s="197">
        <f t="shared" si="21"/>
        <v>350</v>
      </c>
      <c r="T23" s="197">
        <f t="shared" si="21"/>
        <v>234</v>
      </c>
      <c r="U23" s="197">
        <f t="shared" si="21"/>
        <v>260</v>
      </c>
      <c r="V23" s="197">
        <f t="shared" si="21"/>
        <v>328</v>
      </c>
      <c r="W23" s="197">
        <f t="shared" si="21"/>
        <v>23</v>
      </c>
      <c r="X23" s="197">
        <f t="shared" si="21"/>
        <v>151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350</v>
      </c>
      <c r="AZ23" s="197">
        <f>SUBTOTAL(9,AZ15:AZ22)</f>
        <v>234</v>
      </c>
      <c r="BA23" s="197">
        <f>SUBTOTAL(9,BA15:BA22)</f>
        <v>260</v>
      </c>
      <c r="BB23" s="197">
        <f>SUBTOTAL(9,BB15:BB22)</f>
        <v>328</v>
      </c>
      <c r="BC23" s="197">
        <f>SUBTOTAL(9,BC15:BC22)</f>
        <v>23</v>
      </c>
      <c r="BD23" s="219">
        <f>IF(ISNUMBER(BA23/AZ23),BA23/AZ23," - ")</f>
        <v>1.1111111111111112</v>
      </c>
      <c r="BE23" s="220">
        <f>IF(ISNUMBER(BB23/BA23),BB23/BA23, " - ")</f>
        <v>1.2615384615384615</v>
      </c>
      <c r="BF23" s="220">
        <f>IF(ISNUMBER(BC23/BA23),BC23/BA23, " - ")</f>
        <v>8.8461538461538466E-2</v>
      </c>
      <c r="BG23" s="221">
        <f>IF(ISNUMBER((AY23+AZ23)/BA23),(AY23+AZ23)/BA23," - ")</f>
        <v>2.2461538461538462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944</v>
      </c>
      <c r="J31" s="144">
        <f t="shared" si="36"/>
        <v>395</v>
      </c>
      <c r="K31" s="144">
        <f t="shared" si="36"/>
        <v>334</v>
      </c>
      <c r="L31" s="144">
        <f t="shared" si="36"/>
        <v>1006</v>
      </c>
      <c r="M31" s="144">
        <f t="shared" si="36"/>
        <v>73</v>
      </c>
      <c r="N31" s="144">
        <f t="shared" si="36"/>
        <v>165</v>
      </c>
      <c r="O31" s="144">
        <f t="shared" si="36"/>
        <v>52</v>
      </c>
      <c r="P31" s="144">
        <f t="shared" si="36"/>
        <v>42</v>
      </c>
      <c r="Q31" s="144">
        <f t="shared" si="36"/>
        <v>21</v>
      </c>
      <c r="R31" s="144">
        <f t="shared" si="36"/>
        <v>703</v>
      </c>
      <c r="S31" s="144">
        <f t="shared" si="36"/>
        <v>893</v>
      </c>
      <c r="T31" s="144">
        <f t="shared" si="36"/>
        <v>398</v>
      </c>
      <c r="U31" s="144">
        <f t="shared" si="36"/>
        <v>405</v>
      </c>
      <c r="V31" s="144">
        <f t="shared" si="36"/>
        <v>895</v>
      </c>
      <c r="W31" s="144">
        <f t="shared" si="36"/>
        <v>66</v>
      </c>
      <c r="X31" s="144">
        <f t="shared" si="36"/>
        <v>206</v>
      </c>
      <c r="Y31" s="144">
        <f t="shared" si="36"/>
        <v>39</v>
      </c>
      <c r="Z31" s="144">
        <f t="shared" si="36"/>
        <v>19</v>
      </c>
      <c r="AA31" s="144">
        <f t="shared" si="36"/>
        <v>19</v>
      </c>
      <c r="AB31" s="144">
        <f t="shared" si="36"/>
        <v>39</v>
      </c>
      <c r="AC31" s="144">
        <f t="shared" si="36"/>
        <v>0</v>
      </c>
      <c r="AD31" s="144">
        <f t="shared" si="36"/>
        <v>0</v>
      </c>
      <c r="AE31" s="144">
        <f t="shared" si="36"/>
        <v>0</v>
      </c>
      <c r="AF31" s="144">
        <f t="shared" si="36"/>
        <v>0</v>
      </c>
      <c r="AG31" s="144">
        <f t="shared" si="36"/>
        <v>38</v>
      </c>
      <c r="AH31" s="144">
        <f t="shared" si="36"/>
        <v>33</v>
      </c>
      <c r="AI31" s="144">
        <f t="shared" si="36"/>
        <v>21</v>
      </c>
      <c r="AJ31" s="144">
        <f t="shared" si="36"/>
        <v>50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931</v>
      </c>
      <c r="AZ31" s="144">
        <f>SUBTOTAL(9,AZ9:AZ30)</f>
        <v>431</v>
      </c>
      <c r="BA31" s="144">
        <f>SUBTOTAL(9,BA9:BA30)</f>
        <v>426</v>
      </c>
      <c r="BB31" s="144">
        <f>SUBTOTAL(9,BB9:BB30)</f>
        <v>945</v>
      </c>
      <c r="BC31" s="145">
        <f>SUBTOTAL(9,BC9:BC30)</f>
        <v>78</v>
      </c>
      <c r="BD31" s="227">
        <f>IF(ISNUMBER(BA31/AZ31),BA31/AZ31," - ")</f>
        <v>0.98839907192575405</v>
      </c>
      <c r="BE31" s="224">
        <f>IF(ISNUMBER(BB31/BA31),BB31/BA31, " - ")</f>
        <v>2.2183098591549295</v>
      </c>
      <c r="BF31" s="224">
        <f>IF(ISNUMBER(BC31/BA31),BC31/BA31, " - ")</f>
        <v>0.18309859154929578</v>
      </c>
      <c r="BG31" s="145">
        <f>IF(ISNUMBER((AY31+AZ31)/BA31),(AY31+AZ31)/BA31," - ")</f>
        <v>3.1971830985915495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b9zCA4bcSWYG97t8yNUKJSrL1pmdRYMjpVDxHam+oyuiGMVAVSO/xNjF6/3sq3SCkQGaiR9QBi3Sx4pzNmO4g==" saltValue="R1/gDbLQJKNJKkjMLSDp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r8Fmm1poz8QfkmyrU/SHbRF8us3JlVOHuCt4zFZl1gF61cWbpF20p9LrbRob5PaUed0RQcXpWSxWHMlpq8rzA==" saltValue="I4OCL32RdYgAhXhjkmrk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NOIA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9</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667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0.84688995215311003</v>
      </c>
      <c r="BH12" s="764">
        <f>IF(ISNUMBER(((IF(J_V="SI",Datos!L12/Datos!K12,(Datos!L12+Datos!AB12)/(Datos!K12+Datos!AA12)))*11)/factor_trimestre),((IF(J_V="SI",Datos!L12/Datos!K12,(Datos!L12+Datos!AB12)/(Datos!K12+Datos!AA12)))*11)/factor_trimestre," - ")</f>
        <v>7.7740112994350286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2.7734976887519261E-2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15</v>
      </c>
      <c r="AD14" s="1198">
        <f t="shared" si="2"/>
        <v>0</v>
      </c>
      <c r="AE14" s="1198">
        <f t="shared" si="2"/>
        <v>0</v>
      </c>
      <c r="AF14" s="1198">
        <f t="shared" si="2"/>
        <v>9</v>
      </c>
      <c r="AG14" s="1198">
        <f t="shared" si="2"/>
        <v>0</v>
      </c>
      <c r="AH14" s="1198">
        <f t="shared" si="2"/>
        <v>39</v>
      </c>
      <c r="AI14" s="1198">
        <f t="shared" si="2"/>
        <v>0</v>
      </c>
      <c r="AJ14" s="1198">
        <f t="shared" si="2"/>
        <v>0</v>
      </c>
      <c r="AK14" s="1198">
        <f t="shared" si="2"/>
        <v>0</v>
      </c>
      <c r="AL14" s="1198">
        <f t="shared" si="2"/>
        <v>0</v>
      </c>
      <c r="AM14" s="1198">
        <f t="shared" si="2"/>
        <v>673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v>
      </c>
      <c r="BD14" s="1198">
        <f t="shared" si="2"/>
        <v>77</v>
      </c>
      <c r="BE14" s="1198">
        <f t="shared" si="2"/>
        <v>0</v>
      </c>
      <c r="BF14" s="1198">
        <f t="shared" si="2"/>
        <v>0</v>
      </c>
      <c r="BG14" s="1198">
        <f>IF(ISNUMBER(Datos!K14/Datos!J14),Datos!K14/Datos!J14," - ")</f>
        <v>0.83769633507853403</v>
      </c>
      <c r="BH14" s="1202">
        <f>IF(ISNUMBER(((Datos!L14/Datos!K14)*11)/factor_trimestre),((Datos!L14/Datos!K14)*11)/factor_trimestre," - ")</f>
        <v>8.2249999999999996</v>
      </c>
      <c r="BI14" s="1198">
        <f>IF(ISNUMBER('Resol  Asuntos'!D14/NºAsuntos!G14),'Resol  Asuntos'!D14/NºAsuntos!G14," - ")</f>
        <v>0.22905027932960895</v>
      </c>
      <c r="BJ14" s="1198" t="str">
        <f>IF(ISNUMBER(Datos!CI14/Datos!CJ14),Datos!CI14/Datos!CJ14," - ")</f>
        <v xml:space="preserve"> - </v>
      </c>
      <c r="BK14" s="1198">
        <f>SUBTOTAL(9,BK8:BK13)</f>
        <v>0</v>
      </c>
      <c r="BL14" s="1198">
        <f>IF(ISNUMBER((I14-AB14+L14)/(F14)),(I14-AB14+L14)/(F14)," - ")</f>
        <v>-0.2</v>
      </c>
      <c r="BM14" s="1203">
        <f>SUBTOTAL(9,BM9:BM13)</f>
        <v>2.7734976887519261E-2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274</v>
      </c>
      <c r="G17" s="743">
        <f>IF(ISNUMBER(IF(D_I="SI",Datos!I17,Datos!I17+Datos!AC17)),IF(D_I="SI",Datos!I17,Datos!I17+Datos!AC17)," - ")</f>
        <v>273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152</v>
      </c>
      <c r="AC17" s="240">
        <f>IF(ISNUMBER(Datos!Q17),Datos!Q17," - ")</f>
        <v>6</v>
      </c>
      <c r="AD17" s="374"/>
      <c r="AE17" s="562"/>
      <c r="AF17" s="741">
        <f>IF(ISNUMBER(IF(D_I="SI",Datos!L17,Datos!L17+Datos!AF17)),IF(D_I="SI",Datos!L17,Datos!L17+Datos!AF17)," - ")</f>
        <v>290</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0.90476190476190477</v>
      </c>
      <c r="BH17" s="764">
        <f>IF(ISNUMBER(((IF(D_I="SI",Datos!L17/Datos!K17,(Datos!L17+Datos!AF17)/(Datos!K17+Datos!AE17)))*11)/factor_trimestre),((IF(D_I="SI",Datos!L17/Datos!K17,(Datos!L17+Datos!AF17)/(Datos!K17+Datos!AE17)))*11)/factor_trimestre," - ")</f>
        <v>3.8157894736842106</v>
      </c>
      <c r="BI17" s="266">
        <f>IF(ISNUMBER('Resol  Asuntos'!D17/NºAsuntos!G17),'Resol  Asuntos'!D17/NºAsuntos!G17," - ")</f>
        <v>0.20394736842105263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58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0.61111111111111116</v>
      </c>
      <c r="BH18" s="764">
        <f>IF(ISNUMBER(((IF(D_I="SI",Datos!L18/Datos!K18,(Datos!L18+Datos!AF18)/(Datos!K18+Datos!AE18)))*11)/factor_trimestre),((IF(D_I="SI",Datos!L18/Datos!K18,(Datos!L18+Datos!AF18)/(Datos!K18+Datos!AE18)))*11)/factor_trimestre," - ")</f>
        <v>5.2727272727272725</v>
      </c>
      <c r="BI18" s="763">
        <f>IF(ISNUMBER('Resol  Asuntos'!D18/NºAsuntos!G18),'Resol  Asuntos'!D18/NºAsuntos!G18," - ")</f>
        <v>4.5454545454545456E-2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274</v>
      </c>
      <c r="G23" s="1197">
        <f>SUBTOTAL(9,G16:G22)</f>
        <v>317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174</v>
      </c>
      <c r="AC23" s="1198">
        <f t="shared" si="5"/>
        <v>6</v>
      </c>
      <c r="AD23" s="1198">
        <f t="shared" si="5"/>
        <v>0</v>
      </c>
      <c r="AE23" s="1198">
        <f t="shared" si="5"/>
        <v>0</v>
      </c>
      <c r="AF23" s="1198">
        <f t="shared" si="5"/>
        <v>348</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88</v>
      </c>
      <c r="BE23" s="1198">
        <f t="shared" si="5"/>
        <v>0</v>
      </c>
      <c r="BF23" s="1198">
        <f t="shared" si="5"/>
        <v>0</v>
      </c>
      <c r="BG23" s="1198">
        <f>IF(ISNUMBER(Datos!K23/Datos!J23),Datos!K23/Datos!J23," - ")</f>
        <v>0.8529411764705882</v>
      </c>
      <c r="BH23" s="1202">
        <f>IF(ISNUMBER(((Datos!L23/Datos!K23)*11)/factor_trimestre),((Datos!L23/Datos!K23)*11)/factor_trimestre," - ")</f>
        <v>4</v>
      </c>
      <c r="BI23" s="1198">
        <f>SUBTOTAL(9,BI16:BI22)</f>
        <v>0.24940191387559807</v>
      </c>
      <c r="BJ23" s="1198">
        <f>SUBTOTAL(9,BJ16:BJ22)</f>
        <v>0</v>
      </c>
      <c r="BK23" s="1198">
        <f>SUBTOTAL(9,BK16:BK22)</f>
        <v>0</v>
      </c>
      <c r="BL23" s="1198">
        <f>IF(ISNUMBER((I23-AB23+L23)/(F23)),(I23-AB23+L23)/(F23)," - ")</f>
        <v>-0.63503649635036497</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284</v>
      </c>
      <c r="G31" s="1117">
        <f t="shared" si="18"/>
        <v>327</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176</v>
      </c>
      <c r="AC31" s="1118">
        <f t="shared" si="19"/>
        <v>21</v>
      </c>
      <c r="AD31" s="1118">
        <f t="shared" si="19"/>
        <v>0</v>
      </c>
      <c r="AE31" s="1118">
        <f t="shared" si="19"/>
        <v>0</v>
      </c>
      <c r="AF31" s="1125">
        <f t="shared" si="19"/>
        <v>357</v>
      </c>
      <c r="AG31" s="1125">
        <f t="shared" si="19"/>
        <v>0</v>
      </c>
      <c r="AH31" s="1125">
        <f t="shared" si="19"/>
        <v>39</v>
      </c>
      <c r="AI31" s="1125">
        <f t="shared" si="19"/>
        <v>0</v>
      </c>
      <c r="AJ31" s="1118">
        <f t="shared" si="19"/>
        <v>0</v>
      </c>
      <c r="AK31" s="1125">
        <f t="shared" si="19"/>
        <v>0</v>
      </c>
      <c r="AL31" s="1125">
        <f t="shared" si="19"/>
        <v>0</v>
      </c>
      <c r="AM31" s="1125">
        <f t="shared" si="19"/>
        <v>703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v>
      </c>
      <c r="BD31" s="1117">
        <f t="shared" si="19"/>
        <v>165</v>
      </c>
      <c r="BE31" s="1117">
        <f t="shared" si="19"/>
        <v>0</v>
      </c>
      <c r="BF31" s="1127">
        <f t="shared" si="19"/>
        <v>0</v>
      </c>
      <c r="BG31" s="1223">
        <f>IF(ISNUMBER(Datos!K31/Datos!J31),Datos!K31/Datos!J31," - ")</f>
        <v>0.84556962025316451</v>
      </c>
      <c r="BH31" s="1223">
        <f>IF(ISNUMBER(((Datos!L31/Datos!K31)*11)/factor_trimestre),((Datos!L31/Datos!K31)*11)/factor_trimestre," - ")</f>
        <v>6.023952095808383</v>
      </c>
      <c r="BI31" s="1103">
        <f>IF(ISNUMBER(Datos!J31/Datos!I31),Datos!J31/Datos!I31," - ")</f>
        <v>0.4184322033898305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-0.61971830985915488</v>
      </c>
      <c r="BM31" s="1188">
        <f>IF(ISNUMBER((Datos!P31-Datos!Q31+R31)/(Datos!R31-Datos!P31+Datos!Q31-R31)),(Datos!P31-Datos!Q31+R31)/(Datos!R31-Datos!P31+Datos!Q31-R31)," - ")</f>
        <v>3.0791788856304986E-2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138.98297257817833</v>
      </c>
      <c r="G33" s="674">
        <f>IF(ISNUMBER(STDEV(G8:G30)),STDEV(G8:G30),"-")</f>
        <v>139.07534785486743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77.643875666863948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19.579508238389003</v>
      </c>
      <c r="BD33" s="673"/>
      <c r="BE33" s="673">
        <f>IF(ISNUMBER(STDEV(BE8:BE30)),STDEV(BE8:BE30),"-")</f>
        <v>0</v>
      </c>
      <c r="BF33" s="678">
        <f>IF(ISNUMBER(STDEV(BF8:BF30)),STDEV(BF8:BF30),"-")</f>
        <v>0</v>
      </c>
      <c r="BG33" s="1052">
        <f>IF(ISNUMBER(STDEV(BG8:BG30)),STDEV(BG8:BG30),"-")</f>
        <v>0.49623402908825365</v>
      </c>
      <c r="BH33" s="1058">
        <f>IF(ISNUMBER(STDEV(BH8:BH30)),STDEV(BH8:BH30),"-")</f>
        <v>2.2658837912211642</v>
      </c>
      <c r="BI33" s="273">
        <f>IF(ISNUMBER(STDEV(BI8:BI30)),STDEV(BI8:BI30),"-")</f>
        <v>9.2885394609945687E-2</v>
      </c>
      <c r="BJ33" s="244" t="str">
        <f>IF(ISNUMBER(BL33/BM33),BL33/BM33," - ")</f>
        <v xml:space="preserve"> - </v>
      </c>
      <c r="BK33" s="709"/>
      <c r="BL33" s="681">
        <f>IF(ISNUMBER(STDEV(BL8:BL30)),STDEV(BL8:BL30),"-")</f>
        <v>0.30761725663297984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lI9waNM67RNjtRKsevtqHinLRHb1iorifijm48Tn5oSCGLiMUyuSguuAKHEqIfkbdOkdawtckycoOJ6krKejA==" saltValue="hYxnsTVxZ5FjqNaJ3js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NOIA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9</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667</v>
      </c>
      <c r="AF12" s="693" t="str">
        <f>IF(ISNUMBER(Datos!BV12),Datos!BV12," - ")</f>
        <v xml:space="preserve"> - </v>
      </c>
      <c r="AG12" s="552" t="str">
        <f>IF(ISNUMBER(Datos!DV12),Datos!DV12," - ")</f>
        <v xml:space="preserve"> - </v>
      </c>
      <c r="AH12" s="553"/>
      <c r="AI12" s="554"/>
      <c r="AJ12" s="552">
        <f>IF(ISNUMBER(Datos!M12),Datos!M12," - ")</f>
        <v>41</v>
      </c>
      <c r="AK12" s="693">
        <f>IF(ISNUMBER(Datos!N12),Datos!N12," - ")</f>
        <v>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7.7740112994350286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2.7734976887519261E-2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15</v>
      </c>
      <c r="AA14" s="1199">
        <f t="shared" si="3"/>
        <v>9</v>
      </c>
      <c r="AB14" s="1199">
        <f t="shared" si="3"/>
        <v>0</v>
      </c>
      <c r="AC14" s="1199">
        <f t="shared" si="3"/>
        <v>0</v>
      </c>
      <c r="AD14" s="1199">
        <f t="shared" si="3"/>
        <v>0</v>
      </c>
      <c r="AE14" s="1199">
        <f t="shared" si="3"/>
        <v>673</v>
      </c>
      <c r="AF14" s="1211">
        <f t="shared" si="3"/>
        <v>0</v>
      </c>
      <c r="AG14" s="1211">
        <f t="shared" si="3"/>
        <v>0</v>
      </c>
      <c r="AH14" s="1211">
        <f t="shared" si="3"/>
        <v>0</v>
      </c>
      <c r="AI14" s="1211">
        <f t="shared" si="3"/>
        <v>0</v>
      </c>
      <c r="AJ14" s="1211">
        <f t="shared" si="3"/>
        <v>41</v>
      </c>
      <c r="AK14" s="1211">
        <f t="shared" si="3"/>
        <v>77</v>
      </c>
      <c r="AL14" s="1211">
        <f t="shared" si="3"/>
        <v>0</v>
      </c>
      <c r="AM14" s="1211">
        <f t="shared" si="3"/>
        <v>0</v>
      </c>
      <c r="AN14" s="1211">
        <f t="shared" si="3"/>
        <v>0</v>
      </c>
      <c r="AO14" s="1203">
        <f>IF(ISNUMBER(((NºAsuntos!I14/NºAsuntos!G14)*11)/factor_trimestre),((NºAsuntos!I14/NºAsuntos!G14)*11)/factor_trimestre," - ")</f>
        <v>7.7877094972067047</v>
      </c>
      <c r="AP14" s="1213" t="str">
        <f>IF(ISNUMBER(Datos!CI14/Datos!CJ14),Datos!CI14/Datos!CJ14," - ")</f>
        <v xml:space="preserve"> - </v>
      </c>
      <c r="AQ14" s="1236">
        <f t="shared" ref="AQ14:AV14" si="4">SUBTOTAL(9,AQ9:AQ13)</f>
        <v>0</v>
      </c>
      <c r="AR14" s="1236">
        <f t="shared" si="4"/>
        <v>2.7734976887519261E-2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274</v>
      </c>
      <c r="G17" s="552">
        <f>IF(ISNUMBER(IF(D_I="SI",Datos!I17,Datos!I17+Datos!AC17)),IF(D_I="SI",Datos!I17,Datos!I17+Datos!AC17)," - ")</f>
        <v>273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152</v>
      </c>
      <c r="Z17" s="805">
        <f>IF(ISNUMBER(Datos!Q17),Datos!Q17," - ")</f>
        <v>6</v>
      </c>
      <c r="AA17" s="551">
        <f>IF(ISNUMBER(IF(D_I="SI",Datos!L17,Datos!L17+Datos!AF17)),IF(D_I="SI",Datos!L17,Datos!L17+Datos!AF17)," - ")</f>
        <v>290</v>
      </c>
      <c r="AB17" s="549"/>
      <c r="AC17" s="549"/>
      <c r="AD17" s="563"/>
      <c r="AE17" s="563">
        <f>IF(ISNUMBER(Datos!R17),Datos!R17," - ")</f>
        <v>30</v>
      </c>
      <c r="AF17" s="693" t="str">
        <f>IF(ISNUMBER(Datos!BV17),Datos!BV17," - ")</f>
        <v xml:space="preserve"> - </v>
      </c>
      <c r="AG17" s="552"/>
      <c r="AH17" s="553"/>
      <c r="AI17" s="554"/>
      <c r="AJ17" s="552">
        <f>IF(ISNUMBER(Datos!M17),Datos!M17," - ")</f>
        <v>31</v>
      </c>
      <c r="AK17" s="693">
        <f>IF(ISNUMBER(Datos!N17),Datos!N17," - ")</f>
        <v>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3.8157894736842106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58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5.2727272727272725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274</v>
      </c>
      <c r="G23" s="1197">
        <f>SUBTOTAL(9,G16:G22)</f>
        <v>317</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174</v>
      </c>
      <c r="Z23" s="1240">
        <f t="shared" si="6"/>
        <v>6</v>
      </c>
      <c r="AA23" s="1240">
        <f t="shared" si="6"/>
        <v>348</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32</v>
      </c>
      <c r="AK23" s="1240">
        <f t="shared" si="6"/>
        <v>88</v>
      </c>
      <c r="AL23" s="1240">
        <f t="shared" si="6"/>
        <v>0</v>
      </c>
      <c r="AM23" s="1240">
        <f t="shared" si="6"/>
        <v>0</v>
      </c>
      <c r="AN23" s="1240">
        <f t="shared" si="6"/>
        <v>0</v>
      </c>
      <c r="AO23" s="1242">
        <f>IF(ISNUMBER(((NºAsuntos!I23/NºAsuntos!G23)*11)/factor_trimestre),((NºAsuntos!I23/NºAsuntos!G23)*11)/factor_trimestre," - ")</f>
        <v>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284</v>
      </c>
      <c r="G31" s="1117">
        <f t="shared" si="12"/>
        <v>327</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176</v>
      </c>
      <c r="Z31" s="1124">
        <f t="shared" si="13"/>
        <v>21</v>
      </c>
      <c r="AA31" s="1125">
        <f t="shared" si="13"/>
        <v>357</v>
      </c>
      <c r="AB31" s="1125">
        <f t="shared" si="13"/>
        <v>0</v>
      </c>
      <c r="AC31" s="1125">
        <f t="shared" si="13"/>
        <v>0</v>
      </c>
      <c r="AD31" s="1126">
        <f t="shared" si="13"/>
        <v>0</v>
      </c>
      <c r="AE31" s="1126">
        <f t="shared" si="13"/>
        <v>703</v>
      </c>
      <c r="AF31" s="1127">
        <f t="shared" si="13"/>
        <v>0</v>
      </c>
      <c r="AG31" s="1128">
        <f t="shared" si="13"/>
        <v>0</v>
      </c>
      <c r="AH31" s="1129">
        <f t="shared" si="13"/>
        <v>0</v>
      </c>
      <c r="AI31" s="1127">
        <f t="shared" si="13"/>
        <v>0</v>
      </c>
      <c r="AJ31" s="1117">
        <f t="shared" si="13"/>
        <v>73</v>
      </c>
      <c r="AK31" s="1117">
        <f t="shared" si="13"/>
        <v>165</v>
      </c>
      <c r="AL31" s="1117">
        <f t="shared" si="13"/>
        <v>0</v>
      </c>
      <c r="AM31" s="1130">
        <f t="shared" si="13"/>
        <v>0</v>
      </c>
      <c r="AN31" s="1120">
        <f>IF(ISNUMBER(Datos!K31/Datos!J31),Datos!K31/Datos!J31," - ")</f>
        <v>0.84556962025316451</v>
      </c>
      <c r="AO31" s="1120">
        <f>IF(ISNUMBER(FIND("06",Criterios!A8,1)),(IF(ISNUMBER(((Datos!R31/Datos!Q31)*11)/factor_trimestre),((Datos!R31/Datos!Q31)*11)/factor_trimestre," - ")),(IF(ISNUMBER(((Datos!L31/Datos!K31)*11)/factor_trimestre),((Datos!L31/Datos!K31)*11)/factor_trimestre," - ")))</f>
        <v>6.023952095808383</v>
      </c>
      <c r="AP31" s="1131" t="str">
        <f>IF(ISNUMBER(Datos!CI31/Datos!CJ31),Datos!CI31/Datos!CJ31," - ")</f>
        <v xml:space="preserve"> - </v>
      </c>
      <c r="AQ31" s="1131">
        <f>IF(OR(ISNUMBER(FIND("01",Criterios!A8,1)),ISNUMBER(FIND("02",Criterios!A8,1)),ISNUMBER(FIND("03",Criterios!A8,1)),ISNUMBER(FIND("04",Criterios!A8,1))),(J31-Y31+K31)/(F31-K31),(I31-Y31+K31)/(F31-K31))</f>
        <v>-0.61971830985915488</v>
      </c>
      <c r="AR31" s="1131">
        <f>IF(ISNUMBER((Datos!P31-Datos!Q31+O31)/(Datos!R31-Datos!P31+Datos!Q31-O31)),(Datos!P31-Datos!Q31+O31)/(Datos!R31-Datos!P31+Datos!Q31-O31)," - ")</f>
        <v>3.0791788856304986E-2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138.98297257817833</v>
      </c>
      <c r="G33" s="674">
        <f>IF(ISNUMBER(STDEV(G8:G30)),STDEV(G8:G30),"-")</f>
        <v>139.07534785486743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19.579508238389003</v>
      </c>
      <c r="AK33" s="276"/>
      <c r="AL33" s="276">
        <f>IF(ISNUMBER(STDEV(AL8:AL30)),STDEV(AL8:AL30),"-")</f>
        <v>0</v>
      </c>
      <c r="AM33" s="278">
        <f>IF(ISNUMBER(STDEV(AM8:AM30)),STDEV(AM8:AM30),"-")</f>
        <v>0</v>
      </c>
      <c r="AN33" s="660">
        <f>IF(ISNUMBER(STDEV(AN8:AN30)),STDEV(AN8:AN30),"-")</f>
        <v>0</v>
      </c>
      <c r="AO33" s="661">
        <f>IF(ISNUMBER(STDEV(AO8:AO30)),STDEV(AO8:AO30),"-")</f>
        <v>2.1994927561574711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Jjga1cC2P3bCxJCD3H2XtrBqUTUO10Izy/J0YwjFPNs4ItpR4Cd2lWbibDPzCaa2GzASy2KJrouB6nB/p3H/Q==" saltValue="h3MMtfAVViym7At6pFvZ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59PIByq0/0H3U4rQZ93I2XicJ3m8Ue4lLTzlzvRS/Dh0IXBQvvAdliwmtvtL75/Uh1VxeHtXJLFJYwWNsvnrw==" saltValue="BYeVR7vIcKk03JU0UjIF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vWPLijhOdbA0dMxlAPkEx49Q4mXvLQMxzQSB2QVCjdCMFsE0mn9cNJ4A+XngBfdK7vn/sH3EMI7GGm76xY6mw==" saltValue="m0O6tqOQuJSrk4KsSfgP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NOIA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0.22905027932960895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0.16196300574663938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Vg7CpKYHcwrBf1A4T8CIOrviIrpfReN27azEZJwBSgGCjv5USi5ixfVhgLlJJc/zRJQWjpv81/f/Mo80x8lXw==" saltValue="baA6ji6JqFxQuCHMRjwJ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QJa7Ewc7ygl+MXAdl+4WI6I1+6ckAJpTmzSfRgT+FktTVJO/oV3NrOImVKjvZ79GUrrf1iwpaCgQFcpWC3Jjw==" saltValue="Fuepsaj58ctKZmGw3fXH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NOIA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1</v>
      </c>
      <c r="F10" s="452">
        <f>IF(ISNUMBER(E10/B10),E10/B10," - ")</f>
        <v>1</v>
      </c>
      <c r="G10" s="451">
        <f>IF(ISNUMBER(Datos!K10),Datos!K10," - ")</f>
        <v>2</v>
      </c>
      <c r="H10" s="452">
        <f>IF(ISNUMBER(G10/B10),G10/B10," - ")</f>
        <v>2</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656</v>
      </c>
      <c r="D12" s="452">
        <f>IF(ISNUMBER(C12/Datos!BH12),C12/Datos!BH12," - ")</f>
        <v>328</v>
      </c>
      <c r="E12" s="451">
        <f>IF(ISNUMBER(IF(J_V="SI",Datos!J12,Datos!J12+Datos!Z12)),IF(J_V="SI",Datos!J12,Datos!J12+Datos!Z12)," - ")</f>
        <v>209</v>
      </c>
      <c r="F12" s="452">
        <f>IF(ISNUMBER(E12/B12),E12/B12," - ")</f>
        <v>104.5</v>
      </c>
      <c r="G12" s="451">
        <f>IF(ISNUMBER(IF(J_V="SI",Datos!K12,Datos!K12+Datos!AA12)),IF(J_V="SI",Datos!K12,Datos!K12+Datos!AA12)," - ")</f>
        <v>177</v>
      </c>
      <c r="H12" s="452">
        <f>IF(ISNUMBER(G12/B12),G12/B12," - ")</f>
        <v>88.5</v>
      </c>
      <c r="I12" s="451">
        <f>IF(ISNUMBER(IF(J_V="SI",Datos!L12,Datos!L12+Datos!AB12)),IF(J_V="SI",Datos!L12,Datos!L12+Datos!AB12)," - ")</f>
        <v>688</v>
      </c>
      <c r="J12" s="452">
        <f>IF(ISNUMBER(I12/B12),I12/B12," - ")</f>
        <v>344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666</v>
      </c>
      <c r="D14" s="1147" t="str">
        <f>IF(ISNUMBER(C14/Datos!BI14),C14/Datos!BI14," - ")</f>
        <v xml:space="preserve"> - </v>
      </c>
      <c r="E14" s="1146">
        <f>SUBTOTAL(9,E8:E13)</f>
        <v>210</v>
      </c>
      <c r="F14" s="1147">
        <f>IF(ISNUMBER(E14/B14),E14/B14," - ")</f>
        <v>105</v>
      </c>
      <c r="G14" s="1146">
        <f>SUBTOTAL(9,G8:G13)</f>
        <v>179</v>
      </c>
      <c r="H14" s="1147">
        <f>IF(ISNUMBER(G14/B14),G14/B14," - ")</f>
        <v>89.5</v>
      </c>
      <c r="I14" s="1146">
        <f>SUBTOTAL(9,I8:I13)</f>
        <v>697</v>
      </c>
      <c r="J14" s="1147">
        <f>IF(ISNUMBER(I14/B14),I14/B14," - ")</f>
        <v>348.5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273</v>
      </c>
      <c r="D17" s="452">
        <f>IF(ISNUMBER(C17/Datos!BH17),C17/Datos!BH17," - ")</f>
        <v>136.5</v>
      </c>
      <c r="E17" s="451">
        <f>IF(ISNUMBER(IF(D_I="SI",Datos!J17,Datos!J17+Datos!AD17)),IF(D_I="SI",Datos!J17,Datos!J17+Datos!AD17)," - ")</f>
        <v>168</v>
      </c>
      <c r="F17" s="452">
        <f>IF(ISNUMBER(E17/B17),E17/B17," - ")</f>
        <v>84</v>
      </c>
      <c r="G17" s="451">
        <f>IF(ISNUMBER(IF(D_I="SI",Datos!K17,Datos!K17+Datos!AE17)),IF(D_I="SI",Datos!K17,Datos!K17+Datos!AE17)," - ")</f>
        <v>152</v>
      </c>
      <c r="H17" s="452">
        <f>IF(ISNUMBER(G17/B17),G17/B17," - ")</f>
        <v>76</v>
      </c>
      <c r="I17" s="451">
        <f>IF(ISNUMBER(IF(D_I="SI",Datos!L17,Datos!L17+Datos!AF17)),IF(D_I="SI",Datos!L17,Datos!L17+Datos!AF17)," - ")</f>
        <v>290</v>
      </c>
      <c r="J17" s="452">
        <f>IF(ISNUMBER(I17/B17),I17/B17," - ")</f>
        <v>145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36</v>
      </c>
      <c r="F18" s="452">
        <f>IF(ISNUMBER(E18/B18),E18/B18," - ")</f>
        <v>36</v>
      </c>
      <c r="G18" s="451">
        <f>IF(ISNUMBER(IF(D_I="SI",Datos!K18,Datos!K18+Datos!AE18)),IF(D_I="SI",Datos!K18,Datos!K18+Datos!AE18)," - ")</f>
        <v>22</v>
      </c>
      <c r="H18" s="452">
        <f>IF(ISNUMBER(G18/B18),G18/B18," - ")</f>
        <v>22</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317</v>
      </c>
      <c r="D23" s="1147" t="str">
        <f>IF(ISNUMBER(C23/Datos!BI23),C23/Datos!BI23," - ")</f>
        <v xml:space="preserve"> - </v>
      </c>
      <c r="E23" s="1146">
        <f>SUBTOTAL(9,E15:E22)</f>
        <v>204</v>
      </c>
      <c r="F23" s="1147">
        <f>IF(ISNUMBER(E23/B23),E23/B23," - ")</f>
        <v>102</v>
      </c>
      <c r="G23" s="1146">
        <f>SUBTOTAL(9,G15:G22)</f>
        <v>174</v>
      </c>
      <c r="H23" s="1147">
        <f>IF(ISNUMBER(G23/B23),G23/B23," - ")</f>
        <v>87</v>
      </c>
      <c r="I23" s="1146">
        <f>SUBTOTAL(9,I15:I22)</f>
        <v>348</v>
      </c>
      <c r="J23" s="1147">
        <f>IF(ISNUMBER(I23/B23),I23/B23," - ")</f>
        <v>174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983</v>
      </c>
      <c r="D31" s="1085" t="str">
        <f>IF(ISNUMBER(C31/Datos!BI31),C31/Datos!BI31," - ")</f>
        <v xml:space="preserve"> - </v>
      </c>
      <c r="E31" s="1084">
        <f>SUBTOTAL(9,E9:E30)</f>
        <v>414</v>
      </c>
      <c r="F31" s="1085">
        <f>IF(ISNUMBER(E31/B31),E31/B31," - ")</f>
        <v>207</v>
      </c>
      <c r="G31" s="1084">
        <f>SUBTOTAL(9,G9:G30)</f>
        <v>353</v>
      </c>
      <c r="H31" s="1085">
        <f>IF(ISNUMBER(G31/B31),G31/B31," - ")</f>
        <v>176.5</v>
      </c>
      <c r="I31" s="1084">
        <f>SUBTOTAL(9,I9:I30)</f>
        <v>1045</v>
      </c>
      <c r="J31" s="1085">
        <f>IF(ISNUMBER(I31/B31),I31/B31," - ")</f>
        <v>522.5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P1SsqlWnhtZYbLMr5bkqSdTQVH3ldSwaMn5gczz/9mrxkkbWqZ4h8dFY48/924Mhx3vMxf7OXMPXB8fnT5aw==" saltValue="NIyFdGmDQD4BtOi81yUv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NOIA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7.7740112994350286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2.7734976887519261E-2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15</v>
      </c>
      <c r="AE14" s="1257">
        <f t="shared" si="1"/>
        <v>0</v>
      </c>
      <c r="AF14" s="1257">
        <f t="shared" si="1"/>
        <v>9</v>
      </c>
      <c r="AG14" s="1257">
        <f t="shared" si="1"/>
        <v>0</v>
      </c>
      <c r="AH14" s="1257">
        <f t="shared" si="1"/>
        <v>667</v>
      </c>
      <c r="AI14" s="1257">
        <f t="shared" si="1"/>
        <v>0</v>
      </c>
      <c r="AJ14" s="1257">
        <f t="shared" si="1"/>
        <v>0</v>
      </c>
      <c r="AK14" s="1257">
        <f t="shared" si="1"/>
        <v>0</v>
      </c>
      <c r="AL14" s="1257">
        <f t="shared" si="1"/>
        <v>41</v>
      </c>
      <c r="AM14" s="1257">
        <f t="shared" si="1"/>
        <v>77</v>
      </c>
      <c r="AN14" s="1257">
        <f t="shared" si="1"/>
        <v>0</v>
      </c>
      <c r="AO14" s="1257">
        <f t="shared" si="1"/>
        <v>0</v>
      </c>
      <c r="AP14" s="1262">
        <f>IF(ISNUMBER(((Datos!L14/Datos!K14)*11)/factor_trimestre),((Datos!L14/Datos!K14)*11)/factor_trimestre," - ")</f>
        <v>8.2249999999999996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2.7734976887519261E-2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v>
      </c>
      <c r="AQ23" s="1262">
        <f>IF(ISNUMBER(((Datos!M23/Datos!L23)*11)/factor_trimestre),((Datos!M23/Datos!L23)*11)/factor_trimestre," - ")</f>
        <v>0.18390804597701152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-6.4171122994652413E-2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15</v>
      </c>
      <c r="AE31" s="1284">
        <f t="shared" si="9"/>
        <v>0</v>
      </c>
      <c r="AF31" s="1285">
        <f t="shared" si="9"/>
        <v>9</v>
      </c>
      <c r="AG31" s="1285">
        <f t="shared" si="9"/>
        <v>0</v>
      </c>
      <c r="AH31" s="1285">
        <f t="shared" si="9"/>
        <v>667</v>
      </c>
      <c r="AI31" s="1285">
        <f t="shared" si="9"/>
        <v>0</v>
      </c>
      <c r="AJ31" s="1286">
        <f t="shared" si="9"/>
        <v>0</v>
      </c>
      <c r="AK31" s="1286">
        <f t="shared" si="9"/>
        <v>0</v>
      </c>
      <c r="AL31" s="1278">
        <f t="shared" si="9"/>
        <v>41</v>
      </c>
      <c r="AM31" s="1278">
        <f t="shared" si="9"/>
        <v>77</v>
      </c>
      <c r="AN31" s="1278">
        <f t="shared" si="9"/>
        <v>0</v>
      </c>
      <c r="AO31" s="1278">
        <f t="shared" si="9"/>
        <v>0</v>
      </c>
      <c r="AP31" s="1278">
        <f>IF(ISNUMBER(((Datos!L31/Datos!K31)*11)/factor_trimestre),((Datos!L31/Datos!K31)*11)/factor_trimestre," - ")</f>
        <v>6.023952095808383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3.0791788856304986E-2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21.172308959267209</v>
      </c>
      <c r="AM33" s="1006"/>
      <c r="AN33" s="1006">
        <f>IF(ISNUMBER(STDEV(AN8:AN30)),STDEV(AN8:AN30),"-")</f>
        <v>0</v>
      </c>
      <c r="AO33" s="1012">
        <f>IF(ISNUMBER(STDEV(AO8:AO30)),STDEV(AO8:AO30),"-")</f>
        <v>0</v>
      </c>
      <c r="AP33" s="1065">
        <f>IF(ISNUMBER(STDEV(AP8:AP30)),STDEV(AP8:AP30),"-")</f>
        <v>2.2248754719873967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v2LBYUiqI6AzU2QEWcphy3D+JgmlcHdpWCGXdmAVziCyIGoEF9HiBZQ03yxDRx8qegDGX5ecwN4y8g36uZtOw==" saltValue="VmH4BIf7i59Cl3l186p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NOIA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0KJj9OY1xYgoDpbrDsL31CgT3Scweucg1hr65ig0aAI3S4h9KI1GN18m8GM4r8eqnvpJJkXs34YhL1QOkFAew==" saltValue="grwMrj7SX9NapGYK+nJ3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NOIA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77</v>
      </c>
      <c r="G12" s="452">
        <f t="shared" si="1"/>
        <v>38.5</v>
      </c>
      <c r="H12" s="451">
        <f>IF(ISNUMBER(Datos!O12),Datos!O12," - ")</f>
        <v>49</v>
      </c>
      <c r="I12" s="452">
        <f t="shared" si="2"/>
        <v>24.5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41</v>
      </c>
      <c r="E14" s="1147">
        <f t="shared" si="0"/>
        <v>13.666666666666666</v>
      </c>
      <c r="F14" s="1146">
        <f>SUBTOTAL(9,F9:F13)</f>
        <v>77</v>
      </c>
      <c r="G14" s="1147">
        <f t="shared" si="1"/>
        <v>25.666666666666668</v>
      </c>
      <c r="H14" s="1146">
        <f>SUBTOTAL(9,H9:H13)</f>
        <v>49</v>
      </c>
      <c r="I14" s="1147">
        <f>IF(ISNUMBER(H14/B14),H14/B14," - ")</f>
        <v>16.333333333333332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31</v>
      </c>
      <c r="E17" s="452">
        <f t="shared" si="3"/>
        <v>15.5</v>
      </c>
      <c r="F17" s="451">
        <f>IF(ISNUMBER(Datos!N17),Datos!N17," - ")</f>
        <v>66</v>
      </c>
      <c r="G17" s="452">
        <f t="shared" si="4"/>
        <v>33</v>
      </c>
      <c r="H17" s="451">
        <f>IF(ISNUMBER(Datos!O17),Datos!O17," - ")</f>
        <v>3</v>
      </c>
      <c r="I17" s="452">
        <f t="shared" si="5"/>
        <v>1.5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32</v>
      </c>
      <c r="E23" s="1147">
        <f t="shared" si="3"/>
        <v>10.666666666666666</v>
      </c>
      <c r="F23" s="1146">
        <f>SUBTOTAL(9,F16:F22)</f>
        <v>88</v>
      </c>
      <c r="G23" s="1147">
        <f t="shared" si="4"/>
        <v>29.333333333333332</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73</v>
      </c>
      <c r="E31" s="1085">
        <f>IF(ISNUMBER(D31/B31),D31/B31," - ")</f>
        <v>36.5</v>
      </c>
      <c r="F31" s="1084">
        <f>SUBTOTAL(9,F8:F30)</f>
        <v>165</v>
      </c>
      <c r="G31" s="1085">
        <f>IF(ISNUMBER(F31/B31),F31/B31," - ")</f>
        <v>82.5</v>
      </c>
      <c r="H31" s="1084">
        <f>SUBTOTAL(9,H8:H30)</f>
        <v>52</v>
      </c>
      <c r="I31" s="1085">
        <f>IF(ISNUMBER(H31/B31),H31/B31," - ")</f>
        <v>26</v>
      </c>
    </row>
    <row r="34" spans="1:1">
      <c r="A34" s="439" t="str">
        <f>Criterios!A4</f>
        <v>Fecha Informe: 06 may. 2023</v>
      </c>
    </row>
    <row r="39" spans="1:1">
      <c r="A39" s="462"/>
    </row>
  </sheetData>
  <sheetProtection algorithmName="SHA-512" hashValue="XpwG40xOQMayP4rjrenvgFJAGmUtvozqs9Tw5ZEL7jX8D5DYu54x1RVdfpwHAt1ax4E93+BbUcAJIMkX9pGUug==" saltValue="oMaO4c700TS6Y8VJwSe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NOIA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v>
      </c>
      <c r="C12" s="489">
        <f>IF(ISNUMBER(Datos!Q12),Datos!Q12," - ")</f>
        <v>15</v>
      </c>
      <c r="D12" s="456">
        <f>IF(ISNUMBER(Datos!R12),Datos!R12," - ")</f>
        <v>667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v>
      </c>
      <c r="C14" s="1150">
        <f>SUBTOTAL(9,C9:C13)</f>
        <v>15</v>
      </c>
      <c r="D14" s="1148">
        <f>SUBTOTAL(9,D9:D13)</f>
        <v>673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6</v>
      </c>
      <c r="D17" s="456">
        <f>IF(ISNUMBER(Datos!R17),Datos!R17," - ")</f>
        <v>30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6</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21</v>
      </c>
      <c r="D31" s="1090">
        <f>SUBTOTAL(9,D8:D30)</f>
        <v>703</v>
      </c>
    </row>
    <row r="32" spans="1:4" ht="7.5" customHeight="1"/>
    <row r="33" spans="1:1" ht="6" customHeight="1"/>
    <row r="34" spans="1:1">
      <c r="A34" s="439" t="str">
        <f>Criterios!A4</f>
        <v>Fecha Informe: 06 may. 2023</v>
      </c>
    </row>
    <row r="39" spans="1:1">
      <c r="A39" s="462"/>
    </row>
  </sheetData>
  <sheetProtection algorithmName="SHA-512" hashValue="jOnRx9h1aOU+fJ2e3dqXQnct1NZJ/+Dq+XNAI210tI2/k4DMaGlFWjNZLrXyY8yzGr2dkMAI37ir9bAykugtmQ==" saltValue="kcOuqj5DOU+I/BG4/5JX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NOIA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-9.0909090909090912E-2</v>
      </c>
      <c r="C10" s="515">
        <f>IF(ISNUMBER((Datos!J10-Datos!T10)/Datos!T10),(Datos!J10-Datos!T10)/Datos!T10," - ")</f>
        <v>-0.83333333333333337</v>
      </c>
      <c r="D10" s="515">
        <f>IF(ISNUMBER((Datos!K10-Datos!U10)/Datos!U10),(Datos!K10-Datos!U10)/Datos!U10," - ")</f>
        <v>-0.6</v>
      </c>
      <c r="E10" s="515">
        <f>IF(ISNUMBER((Datos!L10-Datos!V10)/Datos!V10),(Datos!L10-Datos!V10)/Datos!V10," - ")</f>
        <v>-0.25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1.3999999999999997</v>
      </c>
      <c r="I10" s="515">
        <f>IF(ISNUMBER(((NºAsuntos!I10/NºAsuntos!G10)-Datos!BE10)/Datos!BE10),((NºAsuntos!I10/NºAsuntos!G10)-Datos!BE10)/Datos!BE10," - ")</f>
        <v>0.87500000000000011</v>
      </c>
      <c r="J10" s="521">
        <f>IF(ISNUMBER((('Resol  Asuntos'!D10/NºAsuntos!G10)-Datos!BF10)/Datos!BF10),(('Resol  Asuntos'!D10/NºAsuntos!G10)-Datos!BF10)/Datos!BF10," - ")</f>
        <v>-1</v>
      </c>
      <c r="K10" s="522">
        <f>IF(ISNUMBER((((NºAsuntos!C10+NºAsuntos!E10)/NºAsuntos!G10)-Datos!BG10)/Datos!BG10),(((NºAsuntos!C10+NºAsuntos!E10)/NºAsuntos!G10)-Datos!BG10)/Datos!BG10," - ")</f>
        <v>0.61764705882352944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0.15087719298245614</v>
      </c>
      <c r="C12" s="515">
        <f>IF(ISNUMBER(
   IF(J_V="SI",(Datos!J12-Datos!T12)/Datos!T12,(Datos!J12+Datos!Z12-(Datos!T12+Datos!AH12))/(Datos!T12+Datos!AH12))
     ),IF(J_V="SI",(Datos!J12-Datos!T12)/Datos!T12,(Datos!J12+Datos!Z12-(Datos!T12+Datos!AH12))/(Datos!T12+Datos!AH12))," - ")</f>
        <v>9.4240837696335081E-2</v>
      </c>
      <c r="D12" s="515">
        <f>IF(ISNUMBER(
   IF(J_V="SI",(Datos!K12-Datos!U12)/Datos!U12,(Datos!K12+Datos!AA12-(Datos!U12+Datos!AI12))/(Datos!U12+Datos!AI12))
     ),IF(J_V="SI",(Datos!K12-Datos!U12)/Datos!U12,(Datos!K12+Datos!AA12-(Datos!U12+Datos!AI12))/(Datos!U12+Datos!AI12))," - ")</f>
        <v>9.9378881987577633E-2</v>
      </c>
      <c r="E12" s="515">
        <f>IF(ISNUMBER(
   IF(J_V="SI",(Datos!L12-Datos!V12)/Datos!V12,(Datos!L12+Datos!AB12-(Datos!V12+Datos!AJ12))/(Datos!V12+Datos!AJ12))
     ),IF(J_V="SI",(Datos!L12-Datos!V12)/Datos!V12,(Datos!L12+Datos!AB12-(Datos!V12+Datos!AJ12))/(Datos!V12+Datos!AJ12))," - ")</f>
        <v>0.13719008264462809</v>
      </c>
      <c r="F12" s="515">
        <f>IF(ISNUMBER((Datos!M12-Datos!W12)/Datos!W12),(Datos!M12-Datos!W12)/Datos!W12," - ")</f>
        <v>0</v>
      </c>
      <c r="G12" s="516">
        <f>IF(ISNUMBER((Datos!N12-Datos!X12)/Datos!X12),(Datos!N12-Datos!X12)/Datos!X12," - ")</f>
        <v>0.45283018867924529</v>
      </c>
      <c r="H12" s="514">
        <f>IF(ISNUMBER(((NºAsuntos!G12/NºAsuntos!E12)-Datos!BD12)/Datos!BD12),((NºAsuntos!G12/NºAsuntos!E12)-Datos!BD12)/Datos!BD12," - ")</f>
        <v>4.6955332996523325E-3</v>
      </c>
      <c r="I12" s="515">
        <f>IF(ISNUMBER(((NºAsuntos!I12/NºAsuntos!G12)-Datos!BE12)/Datos!BE12),((NºAsuntos!I12/NºAsuntos!G12)-Datos!BE12)/Datos!BE12," - ")</f>
        <v>3.4393239015735239E-2</v>
      </c>
      <c r="J12" s="521">
        <f>IF(ISNUMBER((('Resol  Asuntos'!D12/NºAsuntos!G12)-Datos!BF12)/Datos!BF12),(('Resol  Asuntos'!D12/NºAsuntos!G12)-Datos!BF12)/Datos!BF12," - ")</f>
        <v>-0.29634367338236861</v>
      </c>
      <c r="K12" s="522">
        <f>IF(ISNUMBER((((NºAsuntos!C12+NºAsuntos!E12)/NºAsuntos!G12)-Datos!BG12)/Datos!BG12),(((NºAsuntos!C12+NºAsuntos!E12)/NºAsuntos!G12)-Datos!BG12)/Datos!BG12," - ")</f>
        <v>3.3913153225387307E-2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0.14629948364888123</v>
      </c>
      <c r="C14" s="1152">
        <f>IF(ISNUMBER(
   IF(J_V="SI",(Datos!J14-Datos!T14)/Datos!T14,(Datos!J14+Datos!Z14-(Datos!T14+Datos!AH14))/(Datos!T14+Datos!AH14))
     ),IF(J_V="SI",(Datos!J14-Datos!T14)/Datos!T14,(Datos!J14+Datos!Z14-(Datos!T14+Datos!AH14))/(Datos!T14+Datos!AH14))," - ")</f>
        <v>6.5989847715736044E-2</v>
      </c>
      <c r="D14" s="1152">
        <f>IF(ISNUMBER(
   IF(J_V="SI",(Datos!K14-Datos!U14)/Datos!U14,(Datos!K14+Datos!AA14-(Datos!U14+Datos!AI14))/(Datos!U14+Datos!AI14))
     ),IF(J_V="SI",(Datos!K14-Datos!U14)/Datos!U14,(Datos!K14+Datos!AA14-(Datos!U14+Datos!AI14))/(Datos!U14+Datos!AI14))," - ")</f>
        <v>7.8313253012048195E-2</v>
      </c>
      <c r="E14" s="1152">
        <f>IF(ISNUMBER(
   IF(J_V="SI",(Datos!L14-Datos!V14)/Datos!V14,(Datos!L14+Datos!AB14-(Datos!V14+Datos!AJ14))/(Datos!V14+Datos!AJ14))
     ),IF(J_V="SI",(Datos!L14-Datos!V14)/Datos!V14,(Datos!L14+Datos!AB14-(Datos!V14+Datos!AJ14))/(Datos!V14+Datos!AJ14))," - ")</f>
        <v>0.12965964343598055</v>
      </c>
      <c r="F14" s="1153">
        <f>IF(ISNUMBER((Datos!M14-Datos!W14)/Datos!W14),(Datos!M14-Datos!W14)/Datos!W14," - ")</f>
        <v>-4.6511627906976744E-2</v>
      </c>
      <c r="G14" s="1154">
        <f>IF(ISNUMBER((Datos!N14-Datos!X14)/Datos!X14),(Datos!N14-Datos!X14)/Datos!X14," - ")</f>
        <v>0.4</v>
      </c>
      <c r="H14" s="1154">
        <f>IF(ISNUMBER(((NºAsuntos!G14/NºAsuntos!E14)-Datos!BD14)/Datos!BD14),((NºAsuntos!G14/NºAsuntos!E14)-Datos!BD14)/Datos!BD14," - ")</f>
        <v>1.1560527825588062E-2</v>
      </c>
      <c r="I14" s="1154">
        <f>IF(ISNUMBER(((NºAsuntos!I14/NºAsuntos!G14)-Datos!BE14)/Datos!BE14),((NºAsuntos!I14/NºAsuntos!G14)-Datos!BE14)/Datos!BE14," - ")</f>
        <v>4.7617322962976355E-2</v>
      </c>
      <c r="J14" s="1154">
        <f>IF(ISNUMBER((('Resol  Asuntos'!D14/NºAsuntos!G14)-Datos!BF14)/Datos!BF14),(('Resol  Asuntos'!D14/NºAsuntos!G14)-Datos!BF14)/Datos!BF14," - ")</f>
        <v>-0.30868461147790754</v>
      </c>
      <c r="K14" s="1154">
        <f>IF(ISNUMBER((((NºAsuntos!C14+NºAsuntos!E14)/NºAsuntos!G14)-Datos!BG14)/Datos!BG14),(((NºAsuntos!C14+NºAsuntos!E14)/NºAsuntos!G14)-Datos!BG14)/Datos!BG14," - ")</f>
        <v>4.4190087748273106E-2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-7.4576271186440682E-2</v>
      </c>
      <c r="C17" s="515">
        <f>IF(ISNUMBER(
   IF(D_I="SI",(Datos!J17-Datos!T17)/Datos!T17,(Datos!J17+Datos!AD17-(Datos!T17+Datos!AL17))/(Datos!T17+Datos!AL17))
     ),IF(D_I="SI",(Datos!J17-Datos!T17)/Datos!T17,(Datos!J17+Datos!AD17-(Datos!T17+Datos!AL17))/(Datos!T17+Datos!AL17))," - ")</f>
        <v>-0.14720812182741116</v>
      </c>
      <c r="D17" s="515">
        <f>IF(ISNUMBER(
   IF(D_I="SI",(Datos!K17-Datos!U17)/Datos!U17,(Datos!K17+Datos!AE17-(Datos!U17+Datos!AM17))/(Datos!U17+Datos!AM17))
     ),IF(D_I="SI",(Datos!K17-Datos!U17)/Datos!U17,(Datos!K17+Datos!AE17-(Datos!U17+Datos!AM17))/(Datos!U17+Datos!AM17))," - ")</f>
        <v>-0.30275229357798167</v>
      </c>
      <c r="E17" s="515">
        <f>IF(ISNUMBER(
   IF(D_I="SI",(Datos!L17-Datos!V17)/Datos!V17,(Datos!L17+Datos!AF17-(Datos!V17+Datos!AN17))/(Datos!V17+Datos!AN17))
     ),IF(D_I="SI",(Datos!L17-Datos!V17)/Datos!V17,(Datos!L17+Datos!AF17-(Datos!V17+Datos!AN17))/(Datos!V17+Datos!AN17))," - ")</f>
        <v>4.3165467625899283E-2</v>
      </c>
      <c r="F17" s="515">
        <f>IF(ISNUMBER((Datos!M17-Datos!W17)/Datos!W17),(Datos!M17-Datos!W17)/Datos!W17," - ")</f>
        <v>0.47619047619047616</v>
      </c>
      <c r="G17" s="516">
        <f>IF(ISNUMBER((Datos!N17-Datos!X17)/Datos!X17),(Datos!N17-Datos!X17)/Datos!X17," - ")</f>
        <v>-0.47199999999999998</v>
      </c>
      <c r="H17" s="514">
        <f>IF(ISNUMBER(((NºAsuntos!G17/NºAsuntos!E17)-Datos!BD17)/Datos!BD17),((NºAsuntos!G17/NºAsuntos!E17)-Datos!BD17)/Datos!BD17," - ")</f>
        <v>-0.1823940585408475</v>
      </c>
      <c r="I17" s="515">
        <f>IF(ISNUMBER(((NºAsuntos!I17/NºAsuntos!G17)-Datos!BE17)/Datos!BE17),((NºAsuntos!I17/NºAsuntos!G17)-Datos!BE17)/Datos!BE17," - ")</f>
        <v>0.49611889435819778</v>
      </c>
      <c r="J17" s="521">
        <f>IF(ISNUMBER((('Resol  Asuntos'!D17/NºAsuntos!G17)-Datos!BF17)/Datos!BF17),(('Resol  Asuntos'!D17/NºAsuntos!G17)-Datos!BF17)/Datos!BF17," - ")</f>
        <v>1.1171679197994986</v>
      </c>
      <c r="K17" s="522">
        <f>IF(ISNUMBER((((NºAsuntos!C17+NºAsuntos!E17)/NºAsuntos!G17)-Datos!BG17)/Datos!BG17),(((NºAsuntos!C17+NºAsuntos!E17)/NºAsuntos!G17)-Datos!BG17)/Datos!BG17," - ")</f>
        <v>0.28554236200256744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-2.7027027027027029E-2</v>
      </c>
      <c r="D18" s="515">
        <f>IF(ISNUMBER(
   IF(D_I="SI",(Datos!K18-Datos!U18)/Datos!U18,(Datos!K18+Datos!AE18-(Datos!U18+Datos!AM18))/(Datos!U18+Datos!AM18))
     ),IF(D_I="SI",(Datos!K18-Datos!U18)/Datos!U18,(Datos!K18+Datos!AE18-(Datos!U18+Datos!AM18))/(Datos!U18+Datos!AM18))," - ")</f>
        <v>-0.47619047619047616</v>
      </c>
      <c r="E18" s="515">
        <f>IF(ISNUMBER(
   IF(D_I="SI",(Datos!L18-Datos!V18)/Datos!V18,(Datos!L18+Datos!AF18-(Datos!V18+Datos!AN18))/(Datos!V18+Datos!AN18))
     ),IF(D_I="SI",(Datos!L18-Datos!V18)/Datos!V18,(Datos!L18+Datos!AF18-(Datos!V18+Datos!AN18))/(Datos!V18+Datos!AN18))," - ")</f>
        <v>0.16</v>
      </c>
      <c r="F18" s="515">
        <f>IF(ISNUMBER((Datos!M18-Datos!W18)/Datos!W18),(Datos!M18-Datos!W18)/Datos!W18," - ")</f>
        <v>-0.5</v>
      </c>
      <c r="G18" s="516">
        <f>IF(ISNUMBER((Datos!N18-Datos!X18)/Datos!X18),(Datos!N18-Datos!X18)/Datos!X18," - ")</f>
        <v>-0.15384615384615385</v>
      </c>
      <c r="H18" s="514">
        <f>IF(ISNUMBER(((NºAsuntos!G18/NºAsuntos!E18)-Datos!BD18)/Datos!BD18),((NºAsuntos!G18/NºAsuntos!E18)-Datos!BD18)/Datos!BD18," - ")</f>
        <v>-0.46164021164021157</v>
      </c>
      <c r="I18" s="515">
        <f>IF(ISNUMBER(((NºAsuntos!I18/NºAsuntos!G18)-Datos!BE18)/Datos!BE18),((NºAsuntos!I18/NºAsuntos!G18)-Datos!BE18)/Datos!BE18," - ")</f>
        <v>1.2145454545454544</v>
      </c>
      <c r="J18" s="521">
        <f>IF(ISNUMBER((('Resol  Asuntos'!D18/NºAsuntos!G18)-Datos!BF18)/Datos!BF18),(('Resol  Asuntos'!D18/NºAsuntos!G18)-Datos!BF18)/Datos!BF18," - ")</f>
        <v>-4.5454545454545373E-2</v>
      </c>
      <c r="K18" s="522">
        <f>IF(ISNUMBER((((NºAsuntos!C18+NºAsuntos!E18)/NºAsuntos!G18)-Datos!BG18)/Datos!BG18),(((NºAsuntos!C18+NºAsuntos!E18)/NºAsuntos!G18)-Datos!BG18)/Datos!BG18," - ")</f>
        <v>0.66007905138339895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-9.4285714285714292E-2</v>
      </c>
      <c r="C23" s="1152">
        <f>IF(ISNUMBER(
   IF(Criterios!B14="SI",(Datos!J23-Datos!T23)/Datos!T23,(Datos!J23+Datos!AD23-(Datos!T23+Datos!AL23))/(Datos!T23+Datos!AL23))
     ),IF(Criterios!B14="SI",(Datos!J23-Datos!T23)/Datos!T23,(Datos!J23+Datos!AD23-(Datos!T23+Datos!AL23))/(Datos!T23+Datos!AL23))," - ")</f>
        <v>-0.12820512820512819</v>
      </c>
      <c r="D23" s="1152">
        <f>IF(ISNUMBER(
   IF(Criterios!B14="SI",(Datos!K23-Datos!U23)/Datos!U23,(Datos!K23+Datos!AE23-(Datos!U23+Datos!AM23))/(Datos!U23+Datos!AM23))
     ),IF(Criterios!B14="SI",(Datos!K23-Datos!U23)/Datos!U23,(Datos!K23+Datos!AE23-(Datos!U23+Datos!AM23))/(Datos!U23+Datos!AM23))," - ")</f>
        <v>-0.33076923076923076</v>
      </c>
      <c r="E23" s="1152">
        <f>IF(ISNUMBER(
   IF(Criterios!B14="SI",(Datos!L23-Datos!V23)/Datos!V23,(Datos!L23+Datos!AF23-(Datos!V23+Datos!AN23))/(Datos!V23+Datos!AN23))
     ),IF(Criterios!B14="SI",(Datos!L23-Datos!V23)/Datos!V23,(Datos!L23+Datos!AF23-(Datos!V23+Datos!AN23))/(Datos!V23+Datos!AN23))," - ")</f>
        <v>6.097560975609756E-2</v>
      </c>
      <c r="F23" s="1153">
        <f>IF(ISNUMBER((Datos!M23-Datos!W23)/Datos!W23),(Datos!M23-Datos!W23)/Datos!W23," - ")</f>
        <v>0.39130434782608697</v>
      </c>
      <c r="G23" s="1154">
        <f>IF(ISNUMBER((Datos!N23-Datos!X23)/Datos!X23),(Datos!N23-Datos!X23)/Datos!X23," - ")</f>
        <v>-0.41721854304635764</v>
      </c>
      <c r="H23" s="1154">
        <f>IF(ISNUMBER(((NºAsuntos!G23/NºAsuntos!E23)-Datos!BD23)/Datos!BD23),((NºAsuntos!G23/NºAsuntos!E23)-Datos!BD23)/Datos!BD23," - ")</f>
        <v>-0.23235294117647065</v>
      </c>
      <c r="I23" s="1154">
        <f>IF(ISNUMBER(((NºAsuntos!I23/NºAsuntos!G23)-Datos!BE23)/Datos!BE23),((NºAsuntos!I23/NºAsuntos!G23)-Datos!BE23)/Datos!BE23," - ")</f>
        <v>0.58536585365853666</v>
      </c>
      <c r="J23" s="1154">
        <f>IF(ISNUMBER((('Resol  Asuntos'!D23/NºAsuntos!G23)-Datos!BF23)/Datos!BF23),(('Resol  Asuntos'!D23/NºAsuntos!G23)-Datos!BF23)/Datos!BF23," - ")</f>
        <v>1.0789605197401297</v>
      </c>
      <c r="K23" s="1154">
        <f>IF(ISNUMBER((((NºAsuntos!C23+NºAsuntos!E23)/NºAsuntos!G23)-Datos!BG23)/Datos!BG23),(((NºAsuntos!C23+NºAsuntos!E23)/NºAsuntos!G23)-Datos!BG23)/Datos!BG23," - ")</f>
        <v>0.33305778617540549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5.5853920515574654E-2</v>
      </c>
      <c r="C31" s="1092">
        <f>IF(ISNUMBER(
   IF(J_V="SI",(Datos!J31-Datos!T31)/Datos!T31,(Datos!J31+Datos!Z31-(Datos!T31+Datos!AH31))/(Datos!T31+Datos!AH31))
     ),IF(J_V="SI",(Datos!J31-Datos!T31)/Datos!T31,(Datos!J31+Datos!Z31-(Datos!T31+Datos!AH31))/(Datos!T31+Datos!AH31))," - ")</f>
        <v>-3.9443155452436193E-2</v>
      </c>
      <c r="D31" s="1092">
        <f>IF(ISNUMBER(
   IF(J_V="SI",(Datos!K31-Datos!U31)/Datos!U31,(Datos!K31+Datos!AA31-(Datos!U31+Datos!AI31))/(Datos!U31+Datos!AI31))
     ),IF(J_V="SI",(Datos!K31-Datos!U31)/Datos!U31,(Datos!K31+Datos!AA31-(Datos!U31+Datos!AI31))/(Datos!U31+Datos!AI31))," - ")</f>
        <v>-0.17136150234741784</v>
      </c>
      <c r="E31" s="1092">
        <f>IF(ISNUMBER(
   IF(J_V="SI",(Datos!L31-Datos!V31)/Datos!V31,(Datos!L31+Datos!AB31-(Datos!V31+Datos!AJ31))/(Datos!V31+Datos!AJ31))
     ),IF(J_V="SI",(Datos!L31-Datos!V31)/Datos!V31,(Datos!L31+Datos!AB31-(Datos!V31+Datos!AJ31))/(Datos!V31+Datos!AJ31))," - ")</f>
        <v>0.10582010582010581</v>
      </c>
      <c r="F31" s="1093">
        <f>IF(ISNUMBER((Datos!M31-Datos!W31)/Datos!W31),(Datos!M31-Datos!W31)/Datos!W31," - ")</f>
        <v>0.10606060606060606</v>
      </c>
      <c r="G31" s="1094">
        <f>IF(ISNUMBER((Datos!N31-Datos!X31)/Datos!X31),(Datos!N31-Datos!X31)/Datos!X31," - ")</f>
        <v>-0.19902912621359223</v>
      </c>
      <c r="H31" s="1095">
        <f>IF(ISNUMBER((Tasas!B31-Datos!BD31)/Datos!BD31),(Tasas!B31-Datos!BD31)/Datos!BD31," - ")</f>
        <v>-0.13733528384477556</v>
      </c>
      <c r="I31" s="1096">
        <f>IF(ISNUMBER((Tasas!C31-Datos!BE31)/Datos!BE31),(Tasas!C31-Datos!BE31)/Datos!BE31," - ")</f>
        <v>0.33450245064975948</v>
      </c>
      <c r="J31" s="1097">
        <f>IF(ISNUMBER((Tasas!D31-Datos!BF31)/Datos!BF31),(Tasas!D31-Datos!BF31)/Datos!BF31," - ")</f>
        <v>0.12943996513401601</v>
      </c>
      <c r="K31" s="1097">
        <f>IF(ISNUMBER((Tasas!E31-Datos!BG31)/Datos!BG31),(Tasas!E31-Datos!BG31)/Datos!BG31," - ")</f>
        <v>0.23781058516678924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HpYj1juQZ3lBFfvbfDfAapb/ERF/9SgH4wD1TOm9n8IP/NlCQI7X0YMcH9aYhEzOJXZO5ixMnyHJFqjWkiaXg==" saltValue="hVvHgBvnhRxPjTLzIova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NOIA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4.5</v>
      </c>
      <c r="D10" s="499">
        <f>IF(ISNUMBER('Resol  Asuntos'!D10/NºAsuntos!G10),'Resol  Asuntos'!D10/NºAsuntos!G10," - ")</f>
        <v>0</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0.84688995215311003</v>
      </c>
      <c r="C12" s="498">
        <f>IF(ISNUMBER(NºAsuntos!I12/NºAsuntos!G12),NºAsuntos!I12/NºAsuntos!G12," - ")</f>
        <v>3.8870056497175143</v>
      </c>
      <c r="D12" s="499">
        <f>IF(ISNUMBER('Resol  Asuntos'!D12/NºAsuntos!G12),'Resol  Asuntos'!D12/NºAsuntos!G12," - ")</f>
        <v>0.23163841807909605</v>
      </c>
      <c r="E12" s="500">
        <f>IF(ISNUMBER((NºAsuntos!C12+NºAsuntos!E12)/NºAsuntos!G12),(NºAsuntos!C12+NºAsuntos!E12)/NºAsuntos!G12," - ")</f>
        <v>4.8870056497175138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0.85238095238095235</v>
      </c>
      <c r="C14" s="1156">
        <f>IF(ISNUMBER(NºAsuntos!I14/NºAsuntos!G14),NºAsuntos!I14/NºAsuntos!G14," - ")</f>
        <v>3.8938547486033519</v>
      </c>
      <c r="D14" s="1157">
        <f>IF(ISNUMBER('Resol  Asuntos'!D14/NºAsuntos!G14),'Resol  Asuntos'!D14/NºAsuntos!G14," - ")</f>
        <v>0.22905027932960895</v>
      </c>
      <c r="E14" s="1158">
        <f>IF(ISNUMBER((NºAsuntos!C14+NºAsuntos!E14)/NºAsuntos!G14),(NºAsuntos!C14+NºAsuntos!E14)/NºAsuntos!G14," - ")</f>
        <v>4.8938547486033519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0.90476190476190477</v>
      </c>
      <c r="C17" s="498">
        <f>IF(ISNUMBER(NºAsuntos!I17/NºAsuntos!G17),NºAsuntos!I17/NºAsuntos!G17," - ")</f>
        <v>1.9078947368421053</v>
      </c>
      <c r="D17" s="499">
        <f>IF(ISNUMBER('Resol  Asuntos'!D17/NºAsuntos!G17),'Resol  Asuntos'!D17/NºAsuntos!G17," - ")</f>
        <v>0.20394736842105263</v>
      </c>
      <c r="E17" s="500">
        <f>IF(ISNUMBER((NºAsuntos!C17+NºAsuntos!E17)/NºAsuntos!G17),(NºAsuntos!C17+NºAsuntos!E17)/NºAsuntos!G17," - ")</f>
        <v>2.9013157894736841</v>
      </c>
      <c r="G17" s="523"/>
    </row>
    <row r="18" spans="1:7">
      <c r="A18" s="450" t="str">
        <f>Datos!A18</f>
        <v>Jdos. Violencia contra la mujer</v>
      </c>
      <c r="B18" s="497">
        <f>IF(ISNUMBER(NºAsuntos!G18/NºAsuntos!E18),NºAsuntos!G18/NºAsuntos!E18," - ")</f>
        <v>0.61111111111111116</v>
      </c>
      <c r="C18" s="498">
        <f>IF(ISNUMBER(NºAsuntos!I18/NºAsuntos!G18),NºAsuntos!I18/NºAsuntos!G18," - ")</f>
        <v>2.6363636363636362</v>
      </c>
      <c r="D18" s="499">
        <f>IF(ISNUMBER('Resol  Asuntos'!D18/NºAsuntos!G18),'Resol  Asuntos'!D18/NºAsuntos!G18," - ")</f>
        <v>4.5454545454545456E-2</v>
      </c>
      <c r="E18" s="500">
        <f>IF(ISNUMBER((NºAsuntos!C18+NºAsuntos!E18)/NºAsuntos!G18),(NºAsuntos!C18+NºAsuntos!E18)/NºAsuntos!G18," - ")</f>
        <v>3.6363636363636362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0.8529411764705882</v>
      </c>
      <c r="C23" s="1156">
        <f>IF(ISNUMBER(NºAsuntos!I23/NºAsuntos!G23),NºAsuntos!I23/NºAsuntos!G23," - ")</f>
        <v>2</v>
      </c>
      <c r="D23" s="1159">
        <f>IF(ISNUMBER('Resol  Asuntos'!D23/NºAsuntos!G23),'Resol  Asuntos'!D23/NºAsuntos!G23," - ")</f>
        <v>0.18390804597701149</v>
      </c>
      <c r="E23" s="1158">
        <f>IF(ISNUMBER((NºAsuntos!C23+NºAsuntos!E23)/NºAsuntos!G23),(NºAsuntos!C23+NºAsuntos!E23)/NºAsuntos!G23," - ")</f>
        <v>2.9942528735632186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0.85265700483091789</v>
      </c>
      <c r="C31" s="1099">
        <f>IF(ISNUMBER(NºAsuntos!I31/NºAsuntos!G31),NºAsuntos!I31/NºAsuntos!G31," - ")</f>
        <v>2.9603399433427762</v>
      </c>
      <c r="D31" s="1100">
        <f>IF(ISNUMBER('Resol  Asuntos'!D31/NºAsuntos!G31),'Resol  Asuntos'!D31/NºAsuntos!G31," - ")</f>
        <v>0.20679886685552407</v>
      </c>
      <c r="E31" s="1101">
        <f>IF(ISNUMBER((NºAsuntos!C31+NºAsuntos!E31)/NºAsuntos!G31),(NºAsuntos!C31+NºAsuntos!E31)/NºAsuntos!G31," - ")</f>
        <v>3.9575070821529743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yAo9pFq45cq1JTZnvxyQ+VcQ1W7dMqrUk6XCMk/ok+q8pT/kgJ0am6U4VcM+cER2MPUtD+D9V60/nANtXH9Vg==" saltValue="Xa2UXxKIYAYBLLS7xk9lU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NOIA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9</v>
      </c>
      <c r="AB10" s="374">
        <f>IF(ISNUMBER(Datos!R10),Datos!R10," - ")</f>
        <v>6</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0.84688995215311003</v>
      </c>
      <c r="AM12" s="284">
        <f>IF(ISNUMBER(((NºAsuntos!I12/NºAsuntos!G12)*11)/factor_trimestre),((NºAsuntos!I12/NºAsuntos!G12)*11)/factor_trimestre," - ")</f>
        <v>7.7740112994350286</v>
      </c>
      <c r="AN12" s="267">
        <f>IF(ISNUMBER('Resol  Asuntos'!D12/NºAsuntos!G12),'Resol  Asuntos'!D12/NºAsuntos!G12," - ")</f>
        <v>0.23163841807909605</v>
      </c>
      <c r="AO12" s="268">
        <f>IF(ISNUMBER((NºAsuntos!C12+NºAsuntos!E12)/NºAsuntos!G12),(NºAsuntos!C12+NºAsuntos!E12)/NºAsuntos!G12," - ")</f>
        <v>4.8870056497175138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15</v>
      </c>
      <c r="Y14" s="1165">
        <f t="shared" si="6"/>
        <v>17</v>
      </c>
      <c r="Z14" s="1165">
        <f t="shared" si="6"/>
        <v>0</v>
      </c>
      <c r="AA14" s="1165">
        <f t="shared" si="6"/>
        <v>9</v>
      </c>
      <c r="AB14" s="1165">
        <f t="shared" si="6"/>
        <v>673</v>
      </c>
      <c r="AC14" s="1165">
        <f t="shared" si="6"/>
        <v>15</v>
      </c>
      <c r="AD14" s="1165">
        <f t="shared" si="6"/>
        <v>0</v>
      </c>
      <c r="AE14" s="1169">
        <f t="shared" si="6"/>
        <v>0</v>
      </c>
      <c r="AF14" s="1162">
        <f t="shared" si="6"/>
        <v>0</v>
      </c>
      <c r="AG14" s="1170">
        <f t="shared" si="6"/>
        <v>0</v>
      </c>
      <c r="AH14" s="1167">
        <f t="shared" si="6"/>
        <v>0</v>
      </c>
      <c r="AI14" s="1162">
        <f t="shared" si="6"/>
        <v>41</v>
      </c>
      <c r="AJ14" s="1164">
        <f t="shared" si="6"/>
        <v>0</v>
      </c>
      <c r="AK14" s="1167">
        <f>SUBTOTAL(9,AK9:AK13)</f>
        <v>0</v>
      </c>
      <c r="AL14" s="1171">
        <f>IF(ISNUMBER(NºAsuntos!G14/NºAsuntos!E14),NºAsuntos!G14/NºAsuntos!E14," - ")</f>
        <v>0.85238095238095235</v>
      </c>
      <c r="AM14" s="1171">
        <f>IF(ISNUMBER(((NºAsuntos!I14/NºAsuntos!G14)*11)/factor_trimestre),((NºAsuntos!I14/NºAsuntos!G14)*11)/factor_trimestre," - ")</f>
        <v>7.7877094972067047</v>
      </c>
      <c r="AN14" s="1172">
        <f>IF(ISNUMBER('Resol  Asuntos'!D14/NºAsuntos!G14),'Resol  Asuntos'!D14/NºAsuntos!G14," - ")</f>
        <v>0.22905027932960895</v>
      </c>
      <c r="AO14" s="1173">
        <f>IF(ISNUMBER((NºAsuntos!C14+NºAsuntos!E14)/NºAsuntos!G14),(NºAsuntos!C14+NºAsuntos!E14)/NºAsuntos!G14," - ")</f>
        <v>4.8938547486033519</v>
      </c>
      <c r="AP14" s="1174" t="str">
        <f t="shared" si="2"/>
        <v xml:space="preserve"> - </v>
      </c>
      <c r="AQ14" s="1174">
        <f>IF(ISNUMBER((H14-W14+K14)/(F14)),(H14-W14+K14)/(F14)," - ")</f>
        <v>-0.2</v>
      </c>
      <c r="AR14" s="1175">
        <f>IF(ISNUMBER((Datos!P14-Datos!Q14)/(Datos!R14-Datos!P14+Datos!Q14)),(Datos!P14-Datos!Q14)/(Datos!R14-Datos!P14+Datos!Q14)," - ")</f>
        <v>2.748091603053435E-2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274</v>
      </c>
      <c r="G17" s="373">
        <f>IF(ISNUMBER(IF(D_I="SI",Datos!I17,Datos!I17+Datos!AC17)),IF(D_I="SI",Datos!I17,Datos!I17+Datos!AC17)," - ")</f>
        <v>273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152</v>
      </c>
      <c r="X17" s="240">
        <f>IF(ISNUMBER(Datos!Q17),Datos!Q17," - ")</f>
        <v>6</v>
      </c>
      <c r="Y17" s="374">
        <f t="shared" ref="Y17:Y22" si="9">SUM(W17:X17)</f>
        <v>158</v>
      </c>
      <c r="Z17" s="375" t="str">
        <f>IF(ISNUMBER(Datos!CC17),Datos!CC17," - ")</f>
        <v xml:space="preserve"> - </v>
      </c>
      <c r="AA17" s="372">
        <f>IF(ISNUMBER(IF(D_I="SI",Datos!L17,Datos!L17+Datos!AF17)),IF(D_I="SI",Datos!L17,Datos!L17+Datos!AF17)," - ")</f>
        <v>290</v>
      </c>
      <c r="AB17" s="374">
        <f>IF(ISNUMBER(Datos!R17),Datos!R17," - ")</f>
        <v>30</v>
      </c>
      <c r="AC17" s="374">
        <f t="shared" si="8"/>
        <v>320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0.90476190476190477</v>
      </c>
      <c r="AM17" s="284">
        <f>IF(ISNUMBER(((NºAsuntos!I17/NºAsuntos!G17)*11)/factor_trimestre),((NºAsuntos!I17/NºAsuntos!G17)*11)/factor_trimestre," - ")</f>
        <v>3.8157894736842106</v>
      </c>
      <c r="AN17" s="267">
        <f>IF(ISNUMBER('Resol  Asuntos'!D17/NºAsuntos!G17),'Resol  Asuntos'!D17/NºAsuntos!G17," - ")</f>
        <v>0.20394736842105263</v>
      </c>
      <c r="AO17" s="268">
        <f>IF(ISNUMBER((NºAsuntos!C17+NºAsuntos!E17)/NºAsuntos!G17),(NºAsuntos!C17+NºAsuntos!E17)/NºAsuntos!G17," - ")</f>
        <v>2.9013157894736841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58</v>
      </c>
      <c r="AB18" s="374">
        <f>IF(ISNUMBER(Datos!R18),Datos!R18," - ")</f>
        <v>0</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0.61111111111111116</v>
      </c>
      <c r="AM18" s="284">
        <f>IF(ISNUMBER(((NºAsuntos!I18/NºAsuntos!G18)*11)/factor_trimestre),((NºAsuntos!I18/NºAsuntos!G18)*11)/factor_trimestre," - ")</f>
        <v>5.2727272727272725</v>
      </c>
      <c r="AN18" s="267">
        <f>IF(ISNUMBER('Resol  Asuntos'!D18/NºAsuntos!G18),'Resol  Asuntos'!D18/NºAsuntos!G18," - ")</f>
        <v>4.5454545454545456E-2</v>
      </c>
      <c r="AO18" s="268">
        <f>IF(ISNUMBER((NºAsuntos!C18+NºAsuntos!E18)/NºAsuntos!G18),(NºAsuntos!C18+NºAsuntos!E18)/NºAsuntos!G18," - ")</f>
        <v>3.6363636363636362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274</v>
      </c>
      <c r="G23" s="1163">
        <f>SUBTOTAL(9,G16:G22)</f>
        <v>317</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174</v>
      </c>
      <c r="X23" s="1164">
        <f t="shared" si="14"/>
        <v>6</v>
      </c>
      <c r="Y23" s="1165">
        <f t="shared" si="14"/>
        <v>180</v>
      </c>
      <c r="Z23" s="1165">
        <f t="shared" si="14"/>
        <v>0</v>
      </c>
      <c r="AA23" s="1165">
        <f t="shared" si="14"/>
        <v>348</v>
      </c>
      <c r="AB23" s="1165">
        <f t="shared" si="14"/>
        <v>30</v>
      </c>
      <c r="AC23" s="1165">
        <f t="shared" si="14"/>
        <v>378</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0.8529411764705882</v>
      </c>
      <c r="AM23" s="1171">
        <f>IF(ISNUMBER(((NºAsuntos!I23/NºAsuntos!G23)*11)/factor_trimestre),((NºAsuntos!I23/NºAsuntos!G23)*11)/factor_trimestre," - ")</f>
        <v>4</v>
      </c>
      <c r="AN23" s="1172">
        <f>IF(ISNUMBER('Resol  Asuntos'!D23/NºAsuntos!G23),'Resol  Asuntos'!D23/NºAsuntos!G23," - ")</f>
        <v>0.18390804597701149</v>
      </c>
      <c r="AO23" s="1173">
        <f>IF(ISNUMBER((NºAsuntos!C23+NºAsuntos!E23)/NºAsuntos!G23),(NºAsuntos!C23+NºAsuntos!E23)/NºAsuntos!G23," - ")</f>
        <v>2.9942528735632186</v>
      </c>
      <c r="AP23" s="1174" t="str">
        <f t="shared" si="2"/>
        <v xml:space="preserve"> - </v>
      </c>
      <c r="AQ23" s="1174">
        <f>IF(ISNUMBER((H23-W23+K23)/(F23)),(H23-W23+K23)/(F23)," - ")</f>
        <v>-0.63503649635036497</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284</v>
      </c>
      <c r="G31" s="1118">
        <f t="shared" si="20"/>
        <v>327</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176</v>
      </c>
      <c r="X31" s="1118">
        <f t="shared" si="21"/>
        <v>21</v>
      </c>
      <c r="Y31" s="1125">
        <f t="shared" si="21"/>
        <v>197</v>
      </c>
      <c r="Z31" s="1125">
        <f t="shared" si="21"/>
        <v>0</v>
      </c>
      <c r="AA31" s="1125">
        <f t="shared" si="21"/>
        <v>357</v>
      </c>
      <c r="AB31" s="1125">
        <f t="shared" si="21"/>
        <v>703</v>
      </c>
      <c r="AC31" s="1125">
        <f t="shared" si="21"/>
        <v>393</v>
      </c>
      <c r="AD31" s="1125">
        <f t="shared" si="21"/>
        <v>0</v>
      </c>
      <c r="AE31" s="1127">
        <f t="shared" si="21"/>
        <v>0</v>
      </c>
      <c r="AF31" s="1128">
        <f t="shared" si="21"/>
        <v>0</v>
      </c>
      <c r="AG31" s="1129">
        <f t="shared" si="21"/>
        <v>0</v>
      </c>
      <c r="AH31" s="1127">
        <f t="shared" si="21"/>
        <v>0</v>
      </c>
      <c r="AI31" s="1117">
        <f t="shared" si="21"/>
        <v>73</v>
      </c>
      <c r="AJ31" s="1117">
        <f t="shared" si="21"/>
        <v>0</v>
      </c>
      <c r="AK31" s="1127">
        <f t="shared" si="21"/>
        <v>0</v>
      </c>
      <c r="AL31" s="1183">
        <f>IF(ISNUMBER(NºAsuntos!G31/NºAsuntos!E31),NºAsuntos!G31/NºAsuntos!E31," - ")</f>
        <v>0.85265700483091789</v>
      </c>
      <c r="AM31" s="1184">
        <f>IF(ISNUMBER(((NºAsuntos!I31/NºAsuntos!G31)*11)/factor_trimestre),((NºAsuntos!I31/NºAsuntos!G31)*11)/factor_trimestre," - ")</f>
        <v>5.9206798866855515</v>
      </c>
      <c r="AN31" s="1184">
        <f>IF(ISNUMBER('Resol  Asuntos'!D31/NºAsuntos!G31),'Resol  Asuntos'!D31/NºAsuntos!G31," - ")</f>
        <v>0.20679886685552407</v>
      </c>
      <c r="AO31" s="1185">
        <f>IF(ISNUMBER((NºAsuntos!C31+NºAsuntos!E31)/NºAsuntos!G31),(NºAsuntos!C31+NºAsuntos!E31)/NºAsuntos!G31," - ")</f>
        <v>3.9575070821529743</v>
      </c>
      <c r="AP31" s="1186" t="str">
        <f t="shared" si="2"/>
        <v xml:space="preserve"> - </v>
      </c>
      <c r="AQ31" s="1187">
        <f>IF(OR(ISNUMBER(FIND("01",Criterios!A8,1)),ISNUMBER(FIND("02",Criterios!A8,1)),ISNUMBER(FIND("03",Criterios!A8,1)),ISNUMBER(FIND("04",Criterios!A8,1))),(I31-W31+K31)/(F31-K31),(H31-W31+K31)/(F31-K31))</f>
        <v>-0.61971830985915488</v>
      </c>
      <c r="AR31" s="1188">
        <f>IF(ISNUMBER((Datos!P31-Datos!Q31)/(Datos!R31-Datos!P31+Datos!Q31)),(Datos!P31-Datos!Q31)/(Datos!R31-Datos!P31+Datos!Q31)," - ")</f>
        <v>3.0791788856304986E-2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138.98297257817833</v>
      </c>
      <c r="G33" s="277">
        <f>IF(ISNUMBER(STDEV(G8:G30)),STDEV(G8:G30),"-")</f>
        <v>139.07534785486743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77.643875666863948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19.579508238389003</v>
      </c>
      <c r="AJ33" s="276">
        <f t="shared" si="25"/>
        <v>0</v>
      </c>
      <c r="AK33" s="278">
        <f t="shared" si="25"/>
        <v>0</v>
      </c>
      <c r="AL33" s="273">
        <f t="shared" si="25"/>
        <v>0.49525602136655805</v>
      </c>
      <c r="AM33" s="274">
        <f t="shared" si="25"/>
        <v>2.1994927561574711</v>
      </c>
      <c r="AN33" s="274">
        <f t="shared" si="25"/>
        <v>0.10039681418294133</v>
      </c>
      <c r="AO33" s="275">
        <f t="shared" si="25"/>
        <v>1.1024078816609584</v>
      </c>
      <c r="AP33" s="317" t="str">
        <f t="shared" si="25"/>
        <v>-</v>
      </c>
      <c r="AQ33" s="318">
        <f t="shared" si="25"/>
        <v>0.30761725663297984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dmr7x9iB1e1SCKf2bQLoei4qAaL4wIXpX8LVSGZpCM/tqGnQB9s5kSD+IFjgMXpj85p8QUxHOylQwvKmsDXBQ==" saltValue="NkpAo5p4OoDU9XHc57jM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NOIA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-9.0909090909090912E-2</v>
      </c>
      <c r="E10" s="393">
        <f>IF(ISNUMBER((Datos!J10-Datos!T10)/Datos!T10),(Datos!J10-Datos!T10)/Datos!T10," - ")</f>
        <v>-0.83333333333333337</v>
      </c>
      <c r="F10" s="393">
        <f>IF(ISNUMBER((Datos!K10-Datos!U10)/Datos!U10),(Datos!K10-Datos!U10)/Datos!U10," - ")</f>
        <v>-0.6</v>
      </c>
      <c r="G10" s="394">
        <f>IF(ISNUMBER((Datos!L10-Datos!V10)/Datos!V10),(Datos!L10-Datos!V10)/Datos!V10," - ")</f>
        <v>-0.25</v>
      </c>
      <c r="H10" s="244">
        <f>IF(ISNUMBER((Datos!M10-Datos!W10)/Datos!W10),(Datos!M10-Datos!W10)/Datos!W10," - ")</f>
        <v>-1</v>
      </c>
      <c r="I10" s="395">
        <f>IF(ISNUMBER((Tasas!C10-Datos!BE10)/Datos!BE10),(Tasas!C10-Datos!BE10)/Datos!BE10," - ")</f>
        <v>0.87500000000000011</v>
      </c>
      <c r="J10" s="394">
        <f>IF(ISNUMBER((Tasas!D10-Datos!BF10)/Datos!BF10),(Tasas!D10-Datos!BF10)/Datos!BF10," - ")</f>
        <v>-1</v>
      </c>
      <c r="K10" s="396">
        <f>IF(ISNUMBER((Tasas!E10-Datos!BG10)/Datos!BG10),(Tasas!E10-Datos!BG10)/Datos!BG10," - ")</f>
        <v>0.61764705882352944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3.4393239015735239E-2</v>
      </c>
      <c r="J12" s="394">
        <f>IF(ISNUMBER((Tasas!D12-Datos!BF12)/Datos!BF12),(Tasas!D12-Datos!BF12)/Datos!BF12," - ")</f>
        <v>-0.29634367338236861</v>
      </c>
      <c r="K12" s="396">
        <f>IF(ISNUMBER((Tasas!E12-Datos!BG12)/Datos!BG12),(Tasas!E12-Datos!BG12)/Datos!BG12," - ")</f>
        <v>3.3913153225387307E-2</v>
      </c>
      <c r="M12" t="e">
        <f>IF(Monitorios="SI",Datos!CE12,0)</f>
        <v>#REF!</v>
      </c>
      <c r="N12" t="e">
        <f>IF(Monitorios="SI",Datos!CF12,0)</f>
        <v>#REF!</v>
      </c>
      <c r="O12" t="e">
        <f>IF(Monitorios="SI",Datos!CG12,0)</f>
        <v>#REF!</v>
      </c>
      <c r="P12" t="e">
        <f>IF(Monitorios="SI",Datos!CH12,0)</f>
        <v>#REF!</v>
      </c>
      <c r="Q12">
        <f>IF(J_V="SI",0,Datos!AG12)</f>
        <v>38</v>
      </c>
      <c r="R12">
        <f>IF(J_V="SI",0,Datos!AH12)</f>
        <v>33</v>
      </c>
      <c r="S12">
        <f>IF(J_V="SI",0,Datos!AI12)</f>
        <v>21</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-4.6511627906976744E-2</v>
      </c>
      <c r="I14" s="402">
        <f>IF(ISNUMBER((Tasas!C14-Datos!BE14)/Datos!BE14),(Tasas!C14-Datos!BE14)/Datos!BE14," - ")</f>
        <v>4.7617322962976355E-2</v>
      </c>
      <c r="J14" s="400">
        <f>IF(ISNUMBER((Tasas!D14-Datos!BF14)/Datos!BF14),(Tasas!D14-Datos!BF14)/Datos!BF14," - ")</f>
        <v>-0.30868461147790754</v>
      </c>
      <c r="K14" s="403">
        <f>IF(ISNUMBER((Tasas!E14-Datos!BG14)/Datos!BG14),(Tasas!E14-Datos!BG14)/Datos!BG14," - ")</f>
        <v>4.4190087748273106E-2</v>
      </c>
      <c r="M14" t="e">
        <f>IF(Monitorios="SI",Datos!CE14,0)</f>
        <v>#REF!</v>
      </c>
      <c r="N14" t="e">
        <f>IF(Monitorios="SI",Datos!CF14,0)</f>
        <v>#REF!</v>
      </c>
      <c r="O14" t="e">
        <f>IF(Monitorios="SI",Datos!CG14,0)</f>
        <v>#REF!</v>
      </c>
      <c r="P14" t="e">
        <f>IF(Monitorios="SI",Datos!CH14,0)</f>
        <v>#REF!</v>
      </c>
      <c r="Q14">
        <f>IF(J_V="SI",0,Datos!AG14)</f>
        <v>38</v>
      </c>
      <c r="R14">
        <f>IF(J_V="SI",0,Datos!AH14)</f>
        <v>33</v>
      </c>
      <c r="S14">
        <f>IF(J_V="SI",0,Datos!AI14)</f>
        <v>21</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-7.4576271186440682E-2</v>
      </c>
      <c r="E17" s="393">
        <f>IF(ISNUMBER(
   IF(D_I="SI",(Datos!J17-Datos!T17)/Datos!T17,(Datos!J17+Datos!AD17-(Datos!T17+Datos!AL17))/(Datos!T17+Datos!AL17))
     ),IF(D_I="SI",(Datos!J17-Datos!T17)/Datos!T17,(Datos!J17+Datos!AD17-(Datos!T17+Datos!AL17))/(Datos!T17+Datos!AL17))," - ")</f>
        <v>-0.14720812182741116</v>
      </c>
      <c r="F17" s="393">
        <f>IF(ISNUMBER(
   IF(D_I="SI",(Datos!K17-Datos!U17)/Datos!U17,(Datos!K17+Datos!AE17-(Datos!U17+Datos!AM17))/(Datos!U17+Datos!AM17))
     ),IF(D_I="SI",(Datos!K17-Datos!U17)/Datos!U17,(Datos!K17+Datos!AE17-(Datos!U17+Datos!AM17))/(Datos!U17+Datos!AM17))," - ")</f>
        <v>-0.30275229357798167</v>
      </c>
      <c r="G17" s="394">
        <f>IF(ISNUMBER(
   IF(D_I="SI",(Datos!L17-Datos!V17)/Datos!V17,(Datos!L17+Datos!AF17-(Datos!V17+Datos!AN17))/(Datos!V17+Datos!AN17))
     ),IF(D_I="SI",(Datos!L17-Datos!V17)/Datos!V17,(Datos!L17+Datos!AF17-(Datos!V17+Datos!AN17))/(Datos!V17+Datos!AN17))," - ")</f>
        <v>4.3165467625899283E-2</v>
      </c>
      <c r="H17" s="244">
        <f>IF(ISNUMBER((Datos!M17-Datos!W17)/Datos!W17),(Datos!M17-Datos!W17)/Datos!W17," - ")</f>
        <v>0.47619047619047616</v>
      </c>
      <c r="I17" s="395">
        <f>IF(ISNUMBER((Tasas!C17-Datos!BE17)/Datos!BE17),(Tasas!C17-Datos!BE17)/Datos!BE17," - ")</f>
        <v>0.49611889435819778</v>
      </c>
      <c r="J17" s="394">
        <f>IF(ISNUMBER((Tasas!D17-Datos!BF17)/Datos!BF17),(Tasas!D17-Datos!BF17)/Datos!BF17," - ")</f>
        <v>1.1171679197994986</v>
      </c>
      <c r="K17" s="396">
        <f>IF(ISNUMBER((Tasas!E17-Datos!BG17)/Datos!BG17),(Tasas!E17-Datos!BG17)/Datos!BG17," - ")</f>
        <v>0.28554236200256744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-2.7027027027027029E-2</v>
      </c>
      <c r="F18" s="393">
        <f>IF(ISNUMBER(
   IF(D_I="SI",(Datos!K18-Datos!U18)/Datos!U18,(Datos!K18+Datos!AE18-(Datos!U18+Datos!AM18))/(Datos!U18+Datos!AM18))
     ),IF(D_I="SI",(Datos!K18-Datos!U18)/Datos!U18,(Datos!K18+Datos!AE18-(Datos!U18+Datos!AM18))/(Datos!U18+Datos!AM18))," - ")</f>
        <v>-0.47619047619047616</v>
      </c>
      <c r="G18" s="394">
        <f>IF(ISNUMBER(
   IF(D_I="SI",(Datos!L18-Datos!V18)/Datos!V18,(Datos!L18+Datos!AF18-(Datos!V18+Datos!AN18))/(Datos!V18+Datos!AN18))
     ),IF(D_I="SI",(Datos!L18-Datos!V18)/Datos!V18,(Datos!L18+Datos!AF18-(Datos!V18+Datos!AN18))/(Datos!V18+Datos!AN18))," - ")</f>
        <v>0.16</v>
      </c>
      <c r="H18" s="244">
        <f>IF(ISNUMBER((Datos!M18-Datos!W18)/Datos!W18),(Datos!M18-Datos!W18)/Datos!W18," - ")</f>
        <v>-0.5</v>
      </c>
      <c r="I18" s="395">
        <f>IF(ISNUMBER((Tasas!C18-Datos!BE18)/Datos!BE18),(Tasas!C18-Datos!BE18)/Datos!BE18," - ")</f>
        <v>1.2145454545454544</v>
      </c>
      <c r="J18" s="394">
        <f>IF(ISNUMBER((Tasas!D18-Datos!BF18)/Datos!BF18),(Tasas!D18-Datos!BF18)/Datos!BF18," - ")</f>
        <v>-4.5454545454545373E-2</v>
      </c>
      <c r="K18" s="396">
        <f>IF(ISNUMBER((Tasas!E18-Datos!BG18)/Datos!BG18),(Tasas!E18-Datos!BG18)/Datos!BG18," - ")</f>
        <v>0.66007905138339895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-9.4285714285714292E-2</v>
      </c>
      <c r="E23" s="399">
        <f>IF(ISNUMBER(
   IF(D_I="SI",(Datos!J23-Datos!T23)/Datos!T23,(Datos!J23+Datos!AD23-(Datos!T23+Datos!AL23))/(Datos!T23+Datos!AL23))
     ),IF(D_I="SI",(Datos!J23-Datos!T23)/Datos!T23,(Datos!J23+Datos!AD23-(Datos!T23+Datos!AL23))/(Datos!T23+Datos!AL23))," - ")</f>
        <v>-0.12820512820512819</v>
      </c>
      <c r="F23" s="399">
        <f>IF(ISNUMBER(
   IF(D_I="SI",(Datos!K23-Datos!U23)/Datos!U23,(Datos!K23+Datos!AE23-(Datos!U23+Datos!AM23))/(Datos!U23+Datos!AM23))
     ),IF(D_I="SI",(Datos!K23-Datos!U23)/Datos!U23,(Datos!K23+Datos!AE23-(Datos!U23+Datos!AM23))/(Datos!U23+Datos!AM23))," - ")</f>
        <v>-0.33076923076923076</v>
      </c>
      <c r="G23" s="400">
        <f>IF(ISNUMBER(
   IF(D_I="SI",(Datos!L23-Datos!V23)/Datos!V23,(Datos!L23+Datos!AF23-(Datos!V23+Datos!AN23))/(Datos!V23+Datos!AN23))
     ),IF(D_I="SI",(Datos!L23-Datos!V23)/Datos!V23,(Datos!L23+Datos!AF23-(Datos!V23+Datos!AN23))/(Datos!V23+Datos!AN23))," - ")</f>
        <v>6.097560975609756E-2</v>
      </c>
      <c r="H23" s="401">
        <f>IF(ISNUMBER((Datos!M23-Datos!W23)/Datos!W23),(Datos!M23-Datos!W23)/Datos!W23," - ")</f>
        <v>0.39130434782608697</v>
      </c>
      <c r="I23" s="402">
        <f>IF(ISNUMBER((Tasas!C23-Datos!BE23)/Datos!BE23),(Tasas!C23-Datos!BE23)/Datos!BE23," - ")</f>
        <v>0.58536585365853666</v>
      </c>
      <c r="J23" s="400">
        <f>IF(ISNUMBER((Tasas!D23-Datos!BF23)/Datos!BF23),(Tasas!D23-Datos!BF23)/Datos!BF23," - ")</f>
        <v>1.0789605197401297</v>
      </c>
      <c r="K23" s="403">
        <f>IF(ISNUMBER((Tasas!E23-Datos!BG23)/Datos!BG23),(Tasas!E23-Datos!BG23)/Datos!BG23," - ")</f>
        <v>0.33305778617540549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5.5853920515574654E-2</v>
      </c>
      <c r="E31" s="409">
        <f>IF(ISNUMBER(
   IF(J_V="SI",(Datos!J31-Datos!T31)/Datos!T31,(Datos!J31+Datos!Z31-(Datos!T31+Datos!AH31))/(Datos!T31+Datos!AH31))
     ),IF(J_V="SI",(Datos!J31-Datos!T31)/Datos!T31,(Datos!J31+Datos!Z31-(Datos!T31+Datos!AH31))/(Datos!T31+Datos!AH31))," - ")</f>
        <v>-3.9443155452436193E-2</v>
      </c>
      <c r="F31" s="409">
        <f>IF(ISNUMBER(
   IF(J_V="SI",(Datos!K31-Datos!U31)/Datos!U31,(Datos!K31+Datos!AA31-(Datos!U31+Datos!AI31))/(Datos!U31+Datos!AI31))
     ),IF(J_V="SI",(Datos!K31-Datos!U31)/Datos!U31,(Datos!K31+Datos!AA31-(Datos!U31+Datos!AI31))/(Datos!U31+Datos!AI31))," - ")</f>
        <v>-0.17136150234741784</v>
      </c>
      <c r="G31" s="410">
        <f>IF(ISNUMBER(
   IF(J_V="SI",(Datos!L31-Datos!V31)/Datos!V31,(Datos!L31+Datos!AB31-(Datos!V31+Datos!AJ31))/(Datos!V31+Datos!AJ31))
     ),IF(J_V="SI",(Datos!L31-Datos!V31)/Datos!V31,(Datos!L31+Datos!AB31-(Datos!V31+Datos!AJ31))/(Datos!V31+Datos!AJ31))," - ")</f>
        <v>0.10582010582010581</v>
      </c>
      <c r="H31" s="411">
        <f>IF(ISNUMBER((Datos!M31-Datos!W31)/Datos!W31),(Datos!M31-Datos!W31)/Datos!W31," - ")</f>
        <v>0.10606060606060606</v>
      </c>
      <c r="I31" s="408">
        <f>IF(ISNUMBER((Tasas!C31-Datos!BE31)/Datos!BE31),(Tasas!C31-Datos!BE31)/Datos!BE31," - ")</f>
        <v>0.33450245064975948</v>
      </c>
      <c r="J31" s="409">
        <f>IF(ISNUMBER((Tasas!D31-Datos!BF31)/Datos!BF31),(Tasas!D31-Datos!BF31)/Datos!BF31," - ")</f>
        <v>0.12943996513401601</v>
      </c>
      <c r="K31" s="410">
        <f>IF(ISNUMBER((Tasas!E31-Datos!BG31)/Datos!BG31),(Tasas!E31-Datos!BG31)/Datos!BG31," - ")</f>
        <v>0.23781058516678924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5.7354216012326646E-2</v>
      </c>
      <c r="E33" s="303">
        <f t="shared" si="1"/>
        <v>0.37003885703539335</v>
      </c>
      <c r="F33" s="303">
        <f t="shared" si="1"/>
        <v>0.13789588307761191</v>
      </c>
      <c r="G33" s="304">
        <f t="shared" si="1"/>
        <v>0.17666473904273178</v>
      </c>
      <c r="H33" s="310">
        <f t="shared" si="1"/>
        <v>0.55770885303685291</v>
      </c>
      <c r="I33" s="302">
        <f t="shared" si="1"/>
        <v>0.46244366925445646</v>
      </c>
      <c r="J33" s="303">
        <f t="shared" si="1"/>
        <v>0.84235032144535682</v>
      </c>
      <c r="K33" s="304">
        <f t="shared" si="1"/>
        <v>0.2694544107164093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qcOEf0Np7Q+oe7RDhb8U+Z1QEZ2r1cplXONP090ktLvCHKTxPRAYUGkTCthzKXJsLCuR93MrtgcaSCgL2Rc/Q==" saltValue="VhQHPwfBqOprz/QlrU7l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